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cialarchitectsllc-my.sharepoint.com/personal/david_financialarchitectsllc_com/Documents/FA Common Files/Calculators &amp; Technical Reference/"/>
    </mc:Choice>
  </mc:AlternateContent>
  <xr:revisionPtr revIDLastSave="0" documentId="8_{F668999E-F854-4F09-B52A-11E055D584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Deductible" sheetId="3" r:id="rId2"/>
    <sheet name="Roth" sheetId="5" r:id="rId3"/>
    <sheet name="Taxable" sheetId="2" r:id="rId4"/>
    <sheet name="Annuity" sheetId="4" r:id="rId5"/>
  </sheets>
  <definedNames>
    <definedName name="AnnuityCharge">Summary!$B$13</definedName>
    <definedName name="GrowthRate">Summary!$B$8</definedName>
    <definedName name="GrowthTax">Summary!$B$9</definedName>
    <definedName name="InitInv">Summary!$B$15</definedName>
    <definedName name="LTCGRate">Summary!$B$20</definedName>
    <definedName name="OIRate">Summary!$B$19</definedName>
    <definedName name="Penalty">Summary!$B$21</definedName>
    <definedName name="TotalReturn">Summary!$B$12</definedName>
    <definedName name="Turnover">Summary!$B$14</definedName>
    <definedName name="YieldRate">Summary!$B$10</definedName>
    <definedName name="YieldTax">Summary!$B$11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9" i="1"/>
  <c r="D5" i="4" l="1"/>
  <c r="D13" i="4"/>
  <c r="D21" i="4"/>
  <c r="D29" i="4"/>
  <c r="D37" i="4"/>
  <c r="D45" i="4"/>
  <c r="D53" i="4"/>
  <c r="D61" i="4"/>
  <c r="D69" i="4"/>
  <c r="D77" i="4"/>
  <c r="D85" i="4"/>
  <c r="D93" i="4"/>
  <c r="D101" i="4"/>
  <c r="D24" i="4"/>
  <c r="D40" i="4"/>
  <c r="D64" i="4"/>
  <c r="D88" i="4"/>
  <c r="D59" i="4"/>
  <c r="D99" i="4"/>
  <c r="D36" i="4"/>
  <c r="D76" i="4"/>
  <c r="D6" i="4"/>
  <c r="D14" i="4"/>
  <c r="D22" i="4"/>
  <c r="D30" i="4"/>
  <c r="D38" i="4"/>
  <c r="D46" i="4"/>
  <c r="D54" i="4"/>
  <c r="D62" i="4"/>
  <c r="D70" i="4"/>
  <c r="D78" i="4"/>
  <c r="D86" i="4"/>
  <c r="D94" i="4"/>
  <c r="D102" i="4"/>
  <c r="D16" i="4"/>
  <c r="D32" i="4"/>
  <c r="D56" i="4"/>
  <c r="D80" i="4"/>
  <c r="D3" i="4"/>
  <c r="D91" i="4"/>
  <c r="D20" i="4"/>
  <c r="D68" i="4"/>
  <c r="D7" i="4"/>
  <c r="D15" i="4"/>
  <c r="D23" i="4"/>
  <c r="D31" i="4"/>
  <c r="D39" i="4"/>
  <c r="D47" i="4"/>
  <c r="D55" i="4"/>
  <c r="D63" i="4"/>
  <c r="D71" i="4"/>
  <c r="D79" i="4"/>
  <c r="D87" i="4"/>
  <c r="D95" i="4"/>
  <c r="D103" i="4"/>
  <c r="D8" i="4"/>
  <c r="D48" i="4"/>
  <c r="D72" i="4"/>
  <c r="D96" i="4"/>
  <c r="D67" i="4"/>
  <c r="D4" i="4"/>
  <c r="D44" i="4"/>
  <c r="D84" i="4"/>
  <c r="D9" i="4"/>
  <c r="D17" i="4"/>
  <c r="D25" i="4"/>
  <c r="D33" i="4"/>
  <c r="D41" i="4"/>
  <c r="D49" i="4"/>
  <c r="D57" i="4"/>
  <c r="D65" i="4"/>
  <c r="D73" i="4"/>
  <c r="D81" i="4"/>
  <c r="D89" i="4"/>
  <c r="D97" i="4"/>
  <c r="D19" i="4"/>
  <c r="D43" i="4"/>
  <c r="D75" i="4"/>
  <c r="D12" i="4"/>
  <c r="D52" i="4"/>
  <c r="D92" i="4"/>
  <c r="D10" i="4"/>
  <c r="D18" i="4"/>
  <c r="D26" i="4"/>
  <c r="D34" i="4"/>
  <c r="D42" i="4"/>
  <c r="D50" i="4"/>
  <c r="D58" i="4"/>
  <c r="D66" i="4"/>
  <c r="D74" i="4"/>
  <c r="D82" i="4"/>
  <c r="D90" i="4"/>
  <c r="D98" i="4"/>
  <c r="D11" i="4"/>
  <c r="D27" i="4"/>
  <c r="D35" i="4"/>
  <c r="D51" i="4"/>
  <c r="D83" i="4"/>
  <c r="D28" i="4"/>
  <c r="D60" i="4"/>
  <c r="D100" i="4"/>
  <c r="B12" i="1"/>
  <c r="B3" i="5" l="1"/>
  <c r="B3" i="2"/>
  <c r="C3" i="2"/>
  <c r="B3" i="4"/>
  <c r="B3" i="3"/>
  <c r="D3" i="2" l="1"/>
  <c r="E3" i="2" s="1"/>
  <c r="F3" i="2"/>
  <c r="H3" i="2"/>
  <c r="G3" i="2" l="1"/>
  <c r="I3" i="2" l="1"/>
  <c r="J3" i="2" s="1"/>
  <c r="K3" i="2" s="1"/>
  <c r="C3" i="3"/>
  <c r="C3" i="5"/>
  <c r="D3" i="5" s="1"/>
  <c r="F2" i="1" s="1"/>
  <c r="K2" i="1" s="1"/>
  <c r="C3" i="4"/>
  <c r="H2" i="1" s="1"/>
  <c r="M2" i="1" s="1"/>
  <c r="L3" i="2" l="1"/>
  <c r="B4" i="4"/>
  <c r="C4" i="4" s="1"/>
  <c r="B5" i="4" s="1"/>
  <c r="C5" i="4" s="1"/>
  <c r="D3" i="3"/>
  <c r="E2" i="1" s="1"/>
  <c r="J2" i="1" s="1"/>
  <c r="B4" i="3"/>
  <c r="C4" i="3" s="1"/>
  <c r="B4" i="5"/>
  <c r="C4" i="2" l="1"/>
  <c r="M3" i="2" s="1"/>
  <c r="H3" i="1"/>
  <c r="M3" i="1" s="1"/>
  <c r="B4" i="2"/>
  <c r="C4" i="5"/>
  <c r="B5" i="5" s="1"/>
  <c r="H4" i="1"/>
  <c r="M4" i="1" s="1"/>
  <c r="B6" i="4"/>
  <c r="C6" i="4" s="1"/>
  <c r="B5" i="3"/>
  <c r="C5" i="3" s="1"/>
  <c r="D4" i="3"/>
  <c r="E3" i="1" s="1"/>
  <c r="J3" i="1" s="1"/>
  <c r="G2" i="1" l="1"/>
  <c r="L2" i="1" s="1"/>
  <c r="H4" i="2"/>
  <c r="F4" i="2"/>
  <c r="G4" i="2" s="1"/>
  <c r="D4" i="2"/>
  <c r="E4" i="2" s="1"/>
  <c r="D5" i="3"/>
  <c r="E4" i="1" s="1"/>
  <c r="J4" i="1" s="1"/>
  <c r="B6" i="3"/>
  <c r="C6" i="3" s="1"/>
  <c r="C5" i="5"/>
  <c r="B6" i="5" s="1"/>
  <c r="H5" i="1"/>
  <c r="M5" i="1" s="1"/>
  <c r="B7" i="4"/>
  <c r="C7" i="4" s="1"/>
  <c r="D4" i="5"/>
  <c r="F3" i="1" s="1"/>
  <c r="K3" i="1" s="1"/>
  <c r="D5" i="5" l="1"/>
  <c r="F4" i="1" s="1"/>
  <c r="K4" i="1" s="1"/>
  <c r="C6" i="5"/>
  <c r="B7" i="5" s="1"/>
  <c r="D6" i="3"/>
  <c r="E5" i="1" s="1"/>
  <c r="J5" i="1" s="1"/>
  <c r="B7" i="3"/>
  <c r="C7" i="3" s="1"/>
  <c r="I4" i="2"/>
  <c r="H6" i="1"/>
  <c r="M6" i="1" s="1"/>
  <c r="B8" i="4"/>
  <c r="C8" i="4" s="1"/>
  <c r="J4" i="2" l="1"/>
  <c r="D6" i="5"/>
  <c r="F5" i="1" s="1"/>
  <c r="K5" i="1" s="1"/>
  <c r="H7" i="1"/>
  <c r="M7" i="1" s="1"/>
  <c r="B9" i="4"/>
  <c r="C9" i="4" s="1"/>
  <c r="D7" i="3"/>
  <c r="E6" i="1" s="1"/>
  <c r="J6" i="1" s="1"/>
  <c r="B8" i="3"/>
  <c r="C8" i="3" s="1"/>
  <c r="C7" i="5"/>
  <c r="B8" i="5" s="1"/>
  <c r="C8" i="5" s="1"/>
  <c r="L4" i="2" l="1"/>
  <c r="B5" i="2" s="1"/>
  <c r="K4" i="2"/>
  <c r="C5" i="2" s="1"/>
  <c r="D8" i="3"/>
  <c r="E7" i="1" s="1"/>
  <c r="J7" i="1" s="1"/>
  <c r="B9" i="3"/>
  <c r="C9" i="3" s="1"/>
  <c r="D8" i="5"/>
  <c r="F7" i="1" s="1"/>
  <c r="K7" i="1" s="1"/>
  <c r="B9" i="5"/>
  <c r="C9" i="5" s="1"/>
  <c r="D7" i="5"/>
  <c r="F6" i="1" s="1"/>
  <c r="K6" i="1" s="1"/>
  <c r="H8" i="1"/>
  <c r="M8" i="1" s="1"/>
  <c r="B10" i="4"/>
  <c r="C10" i="4" s="1"/>
  <c r="H5" i="2" l="1"/>
  <c r="M4" i="2"/>
  <c r="G3" i="1" s="1"/>
  <c r="L3" i="1" s="1"/>
  <c r="F5" i="2"/>
  <c r="G5" i="2" s="1"/>
  <c r="D5" i="2"/>
  <c r="E5" i="2" s="1"/>
  <c r="D9" i="5"/>
  <c r="F8" i="1" s="1"/>
  <c r="K8" i="1" s="1"/>
  <c r="B10" i="5"/>
  <c r="C10" i="5" s="1"/>
  <c r="H9" i="1"/>
  <c r="M9" i="1" s="1"/>
  <c r="B11" i="4"/>
  <c r="C11" i="4" s="1"/>
  <c r="B10" i="3"/>
  <c r="C10" i="3" s="1"/>
  <c r="D9" i="3"/>
  <c r="E8" i="1" s="1"/>
  <c r="J8" i="1" s="1"/>
  <c r="I5" i="2" l="1"/>
  <c r="J5" i="2" s="1"/>
  <c r="D10" i="3"/>
  <c r="E9" i="1" s="1"/>
  <c r="J9" i="1" s="1"/>
  <c r="B11" i="3"/>
  <c r="C11" i="3" s="1"/>
  <c r="H10" i="1"/>
  <c r="M10" i="1" s="1"/>
  <c r="B12" i="4"/>
  <c r="C12" i="4" s="1"/>
  <c r="D10" i="5"/>
  <c r="F9" i="1" s="1"/>
  <c r="K9" i="1" s="1"/>
  <c r="B11" i="5"/>
  <c r="C11" i="5" s="1"/>
  <c r="K5" i="2" l="1"/>
  <c r="C6" i="2" s="1"/>
  <c r="H6" i="2" s="1"/>
  <c r="L5" i="2"/>
  <c r="D11" i="5"/>
  <c r="F10" i="1" s="1"/>
  <c r="K10" i="1" s="1"/>
  <c r="B12" i="5"/>
  <c r="C12" i="5" s="1"/>
  <c r="H11" i="1"/>
  <c r="M11" i="1" s="1"/>
  <c r="B13" i="4"/>
  <c r="C13" i="4" s="1"/>
  <c r="D11" i="3"/>
  <c r="E10" i="1" s="1"/>
  <c r="J10" i="1" s="1"/>
  <c r="B12" i="3"/>
  <c r="C12" i="3" s="1"/>
  <c r="M5" i="2" l="1"/>
  <c r="G4" i="1" s="1"/>
  <c r="L4" i="1" s="1"/>
  <c r="B6" i="2"/>
  <c r="F6" i="2" s="1"/>
  <c r="G6" i="2" s="1"/>
  <c r="H12" i="1"/>
  <c r="M12" i="1" s="1"/>
  <c r="B14" i="4"/>
  <c r="C14" i="4" s="1"/>
  <c r="D12" i="5"/>
  <c r="F11" i="1" s="1"/>
  <c r="K11" i="1" s="1"/>
  <c r="B13" i="5"/>
  <c r="C13" i="5" s="1"/>
  <c r="D12" i="3"/>
  <c r="E11" i="1" s="1"/>
  <c r="J11" i="1" s="1"/>
  <c r="B13" i="3"/>
  <c r="C13" i="3" s="1"/>
  <c r="I6" i="2" l="1"/>
  <c r="J6" i="2" s="1"/>
  <c r="D6" i="2"/>
  <c r="E6" i="2" s="1"/>
  <c r="D13" i="5"/>
  <c r="F12" i="1" s="1"/>
  <c r="K12" i="1" s="1"/>
  <c r="B14" i="5"/>
  <c r="C14" i="5" s="1"/>
  <c r="H13" i="1"/>
  <c r="M13" i="1" s="1"/>
  <c r="B15" i="4"/>
  <c r="C15" i="4" s="1"/>
  <c r="D13" i="3"/>
  <c r="E12" i="1" s="1"/>
  <c r="J12" i="1" s="1"/>
  <c r="B14" i="3"/>
  <c r="C14" i="3" s="1"/>
  <c r="K6" i="2" l="1"/>
  <c r="C7" i="2" s="1"/>
  <c r="H7" i="2" s="1"/>
  <c r="L6" i="2"/>
  <c r="B7" i="2" s="1"/>
  <c r="D7" i="2" s="1"/>
  <c r="E7" i="2" s="1"/>
  <c r="H14" i="1"/>
  <c r="M14" i="1" s="1"/>
  <c r="B16" i="4"/>
  <c r="C16" i="4" s="1"/>
  <c r="D14" i="5"/>
  <c r="F13" i="1" s="1"/>
  <c r="K13" i="1" s="1"/>
  <c r="B15" i="5"/>
  <c r="C15" i="5" s="1"/>
  <c r="D14" i="3"/>
  <c r="E13" i="1" s="1"/>
  <c r="J13" i="1" s="1"/>
  <c r="B15" i="3"/>
  <c r="C15" i="3" s="1"/>
  <c r="F7" i="2" l="1"/>
  <c r="G7" i="2" s="1"/>
  <c r="M6" i="2"/>
  <c r="G5" i="1" s="1"/>
  <c r="L5" i="1" s="1"/>
  <c r="D15" i="3"/>
  <c r="E14" i="1" s="1"/>
  <c r="J14" i="1" s="1"/>
  <c r="B16" i="3"/>
  <c r="C16" i="3" s="1"/>
  <c r="D15" i="5"/>
  <c r="F14" i="1" s="1"/>
  <c r="K14" i="1" s="1"/>
  <c r="B16" i="5"/>
  <c r="C16" i="5" s="1"/>
  <c r="H15" i="1"/>
  <c r="M15" i="1" s="1"/>
  <c r="B17" i="4"/>
  <c r="C17" i="4" s="1"/>
  <c r="I7" i="2" l="1"/>
  <c r="J7" i="2" s="1"/>
  <c r="L7" i="2" s="1"/>
  <c r="B8" i="2" s="1"/>
  <c r="D16" i="5"/>
  <c r="F15" i="1" s="1"/>
  <c r="K15" i="1" s="1"/>
  <c r="B17" i="5"/>
  <c r="C17" i="5" s="1"/>
  <c r="B18" i="4"/>
  <c r="C18" i="4" s="1"/>
  <c r="H16" i="1"/>
  <c r="M16" i="1" s="1"/>
  <c r="D16" i="3"/>
  <c r="E15" i="1" s="1"/>
  <c r="J15" i="1" s="1"/>
  <c r="B17" i="3"/>
  <c r="C17" i="3" s="1"/>
  <c r="K7" i="2" l="1"/>
  <c r="C8" i="2" s="1"/>
  <c r="H8" i="2" s="1"/>
  <c r="F8" i="2"/>
  <c r="G8" i="2" s="1"/>
  <c r="D8" i="2"/>
  <c r="E8" i="2" s="1"/>
  <c r="D17" i="3"/>
  <c r="E16" i="1" s="1"/>
  <c r="J16" i="1" s="1"/>
  <c r="B18" i="3"/>
  <c r="C18" i="3" s="1"/>
  <c r="H17" i="1"/>
  <c r="M17" i="1" s="1"/>
  <c r="B19" i="4"/>
  <c r="C19" i="4" s="1"/>
  <c r="D17" i="5"/>
  <c r="F16" i="1" s="1"/>
  <c r="K16" i="1" s="1"/>
  <c r="B18" i="5"/>
  <c r="C18" i="5" s="1"/>
  <c r="M7" i="2" l="1"/>
  <c r="G6" i="1" s="1"/>
  <c r="L6" i="1" s="1"/>
  <c r="I8" i="2"/>
  <c r="J8" i="2" s="1"/>
  <c r="D18" i="5"/>
  <c r="F17" i="1" s="1"/>
  <c r="K17" i="1" s="1"/>
  <c r="B19" i="5"/>
  <c r="C19" i="5" s="1"/>
  <c r="H18" i="1"/>
  <c r="M18" i="1" s="1"/>
  <c r="B20" i="4"/>
  <c r="C20" i="4" s="1"/>
  <c r="D18" i="3"/>
  <c r="E17" i="1" s="1"/>
  <c r="J17" i="1" s="1"/>
  <c r="B19" i="3"/>
  <c r="C19" i="3" s="1"/>
  <c r="K8" i="2" l="1"/>
  <c r="C9" i="2" s="1"/>
  <c r="H9" i="2" s="1"/>
  <c r="L8" i="2"/>
  <c r="B21" i="4"/>
  <c r="C21" i="4" s="1"/>
  <c r="H19" i="1"/>
  <c r="M19" i="1" s="1"/>
  <c r="D19" i="5"/>
  <c r="F18" i="1" s="1"/>
  <c r="K18" i="1" s="1"/>
  <c r="B20" i="5"/>
  <c r="C20" i="5" s="1"/>
  <c r="D19" i="3"/>
  <c r="E18" i="1" s="1"/>
  <c r="J18" i="1" s="1"/>
  <c r="B20" i="3"/>
  <c r="C20" i="3" s="1"/>
  <c r="B9" i="2" l="1"/>
  <c r="F9" i="2" s="1"/>
  <c r="G9" i="2" s="1"/>
  <c r="M8" i="2"/>
  <c r="D20" i="5"/>
  <c r="F19" i="1" s="1"/>
  <c r="K19" i="1" s="1"/>
  <c r="B21" i="5"/>
  <c r="C21" i="5" s="1"/>
  <c r="H20" i="1"/>
  <c r="M20" i="1" s="1"/>
  <c r="B22" i="4"/>
  <c r="C22" i="4" s="1"/>
  <c r="D20" i="3"/>
  <c r="E19" i="1" s="1"/>
  <c r="J19" i="1" s="1"/>
  <c r="B21" i="3"/>
  <c r="C21" i="3" s="1"/>
  <c r="I9" i="2" l="1"/>
  <c r="J9" i="2" s="1"/>
  <c r="D9" i="2"/>
  <c r="E9" i="2" s="1"/>
  <c r="G7" i="1"/>
  <c r="L7" i="1" s="1"/>
  <c r="H21" i="1"/>
  <c r="M21" i="1" s="1"/>
  <c r="B23" i="4"/>
  <c r="C23" i="4" s="1"/>
  <c r="D21" i="5"/>
  <c r="F20" i="1" s="1"/>
  <c r="K20" i="1" s="1"/>
  <c r="B22" i="5"/>
  <c r="C22" i="5" s="1"/>
  <c r="D21" i="3"/>
  <c r="E20" i="1" s="1"/>
  <c r="J20" i="1" s="1"/>
  <c r="B22" i="3"/>
  <c r="C22" i="3" s="1"/>
  <c r="K9" i="2" l="1"/>
  <c r="C10" i="2" s="1"/>
  <c r="H10" i="2" s="1"/>
  <c r="L9" i="2"/>
  <c r="D22" i="3"/>
  <c r="E21" i="1" s="1"/>
  <c r="J21" i="1" s="1"/>
  <c r="B23" i="3"/>
  <c r="C23" i="3" s="1"/>
  <c r="D22" i="5"/>
  <c r="F21" i="1" s="1"/>
  <c r="K21" i="1" s="1"/>
  <c r="B23" i="5"/>
  <c r="C23" i="5" s="1"/>
  <c r="H22" i="1"/>
  <c r="M22" i="1" s="1"/>
  <c r="B24" i="4"/>
  <c r="C24" i="4" s="1"/>
  <c r="M9" i="2" l="1"/>
  <c r="G8" i="1" s="1"/>
  <c r="L8" i="1" s="1"/>
  <c r="B10" i="2"/>
  <c r="B24" i="3"/>
  <c r="C24" i="3" s="1"/>
  <c r="D23" i="3"/>
  <c r="E22" i="1" s="1"/>
  <c r="J22" i="1" s="1"/>
  <c r="D23" i="5"/>
  <c r="F22" i="1" s="1"/>
  <c r="K22" i="1" s="1"/>
  <c r="B24" i="5"/>
  <c r="C24" i="5" s="1"/>
  <c r="H23" i="1"/>
  <c r="M23" i="1" s="1"/>
  <c r="B25" i="4"/>
  <c r="C25" i="4" s="1"/>
  <c r="F10" i="2" l="1"/>
  <c r="G10" i="2" s="1"/>
  <c r="D10" i="2"/>
  <c r="E10" i="2" s="1"/>
  <c r="H24" i="1"/>
  <c r="M24" i="1" s="1"/>
  <c r="B26" i="4"/>
  <c r="C26" i="4" s="1"/>
  <c r="D24" i="5"/>
  <c r="F23" i="1" s="1"/>
  <c r="K23" i="1" s="1"/>
  <c r="B25" i="5"/>
  <c r="C25" i="5" s="1"/>
  <c r="D24" i="3"/>
  <c r="E23" i="1" s="1"/>
  <c r="J23" i="1" s="1"/>
  <c r="B25" i="3"/>
  <c r="C25" i="3" s="1"/>
  <c r="I10" i="2" l="1"/>
  <c r="J10" i="2" s="1"/>
  <c r="K10" i="2" s="1"/>
  <c r="D25" i="3"/>
  <c r="E24" i="1" s="1"/>
  <c r="J24" i="1" s="1"/>
  <c r="B26" i="3"/>
  <c r="C26" i="3" s="1"/>
  <c r="D25" i="5"/>
  <c r="F24" i="1" s="1"/>
  <c r="K24" i="1" s="1"/>
  <c r="B26" i="5"/>
  <c r="C26" i="5" s="1"/>
  <c r="B27" i="4"/>
  <c r="C27" i="4" s="1"/>
  <c r="H25" i="1"/>
  <c r="M25" i="1" s="1"/>
  <c r="L10" i="2" l="1"/>
  <c r="B11" i="2" s="1"/>
  <c r="C11" i="2"/>
  <c r="H11" i="2" s="1"/>
  <c r="H26" i="1"/>
  <c r="M26" i="1" s="1"/>
  <c r="B28" i="4"/>
  <c r="C28" i="4" s="1"/>
  <c r="B27" i="5"/>
  <c r="C27" i="5" s="1"/>
  <c r="D26" i="5"/>
  <c r="F25" i="1" s="1"/>
  <c r="K25" i="1" s="1"/>
  <c r="D26" i="3"/>
  <c r="E25" i="1" s="1"/>
  <c r="J25" i="1" s="1"/>
  <c r="B27" i="3"/>
  <c r="C27" i="3" s="1"/>
  <c r="M10" i="2" l="1"/>
  <c r="G9" i="1" s="1"/>
  <c r="L9" i="1" s="1"/>
  <c r="F11" i="2"/>
  <c r="G11" i="2" s="1"/>
  <c r="D11" i="2"/>
  <c r="E11" i="2" s="1"/>
  <c r="D27" i="3"/>
  <c r="E26" i="1" s="1"/>
  <c r="J26" i="1" s="1"/>
  <c r="B28" i="3"/>
  <c r="C28" i="3" s="1"/>
  <c r="D27" i="5"/>
  <c r="F26" i="1" s="1"/>
  <c r="K26" i="1" s="1"/>
  <c r="B28" i="5"/>
  <c r="C28" i="5" s="1"/>
  <c r="H27" i="1"/>
  <c r="M27" i="1" s="1"/>
  <c r="B29" i="4"/>
  <c r="C29" i="4" s="1"/>
  <c r="I11" i="2" l="1"/>
  <c r="J11" i="2" s="1"/>
  <c r="K11" i="2" s="1"/>
  <c r="D28" i="5"/>
  <c r="F27" i="1" s="1"/>
  <c r="K27" i="1" s="1"/>
  <c r="B29" i="5"/>
  <c r="C29" i="5" s="1"/>
  <c r="D28" i="3"/>
  <c r="E27" i="1" s="1"/>
  <c r="J27" i="1" s="1"/>
  <c r="B29" i="3"/>
  <c r="C29" i="3" s="1"/>
  <c r="B30" i="4"/>
  <c r="C30" i="4" s="1"/>
  <c r="H28" i="1"/>
  <c r="M28" i="1" s="1"/>
  <c r="L11" i="2" l="1"/>
  <c r="B12" i="2" s="1"/>
  <c r="C12" i="2"/>
  <c r="H12" i="2" s="1"/>
  <c r="B31" i="4"/>
  <c r="C31" i="4" s="1"/>
  <c r="H29" i="1"/>
  <c r="M29" i="1" s="1"/>
  <c r="D29" i="3"/>
  <c r="E28" i="1" s="1"/>
  <c r="J28" i="1" s="1"/>
  <c r="B30" i="3"/>
  <c r="C30" i="3" s="1"/>
  <c r="D29" i="5"/>
  <c r="F28" i="1" s="1"/>
  <c r="K28" i="1" s="1"/>
  <c r="B30" i="5"/>
  <c r="C30" i="5" s="1"/>
  <c r="M11" i="2" l="1"/>
  <c r="G10" i="1" s="1"/>
  <c r="L10" i="1" s="1"/>
  <c r="F12" i="2"/>
  <c r="G12" i="2" s="1"/>
  <c r="D12" i="2"/>
  <c r="E12" i="2" s="1"/>
  <c r="D30" i="5"/>
  <c r="F29" i="1" s="1"/>
  <c r="K29" i="1" s="1"/>
  <c r="B31" i="5"/>
  <c r="C31" i="5" s="1"/>
  <c r="D30" i="3"/>
  <c r="E29" i="1" s="1"/>
  <c r="J29" i="1" s="1"/>
  <c r="B31" i="3"/>
  <c r="C31" i="3" s="1"/>
  <c r="H30" i="1"/>
  <c r="M30" i="1" s="1"/>
  <c r="B32" i="4"/>
  <c r="C32" i="4" s="1"/>
  <c r="I12" i="2" l="1"/>
  <c r="J12" i="2" s="1"/>
  <c r="K12" i="2" s="1"/>
  <c r="B33" i="4"/>
  <c r="C33" i="4" s="1"/>
  <c r="H31" i="1"/>
  <c r="M31" i="1" s="1"/>
  <c r="D31" i="3"/>
  <c r="E30" i="1" s="1"/>
  <c r="J30" i="1" s="1"/>
  <c r="B32" i="3"/>
  <c r="C32" i="3" s="1"/>
  <c r="D31" i="5"/>
  <c r="F30" i="1" s="1"/>
  <c r="K30" i="1" s="1"/>
  <c r="B32" i="5"/>
  <c r="C32" i="5" s="1"/>
  <c r="L12" i="2" l="1"/>
  <c r="C13" i="2"/>
  <c r="H13" i="2" s="1"/>
  <c r="B33" i="3"/>
  <c r="C33" i="3" s="1"/>
  <c r="D32" i="3"/>
  <c r="E31" i="1" s="1"/>
  <c r="J31" i="1" s="1"/>
  <c r="H32" i="1"/>
  <c r="M32" i="1" s="1"/>
  <c r="B34" i="4"/>
  <c r="C34" i="4" s="1"/>
  <c r="D32" i="5"/>
  <c r="F31" i="1" s="1"/>
  <c r="K31" i="1" s="1"/>
  <c r="B33" i="5"/>
  <c r="C33" i="5" s="1"/>
  <c r="M12" i="2" l="1"/>
  <c r="G11" i="1" s="1"/>
  <c r="L11" i="1" s="1"/>
  <c r="B13" i="2"/>
  <c r="D13" i="2" s="1"/>
  <c r="E13" i="2" s="1"/>
  <c r="H33" i="1"/>
  <c r="M33" i="1" s="1"/>
  <c r="B35" i="4"/>
  <c r="C35" i="4" s="1"/>
  <c r="B34" i="3"/>
  <c r="C34" i="3" s="1"/>
  <c r="D33" i="3"/>
  <c r="E32" i="1" s="1"/>
  <c r="J32" i="1" s="1"/>
  <c r="D33" i="5"/>
  <c r="F32" i="1" s="1"/>
  <c r="K32" i="1" s="1"/>
  <c r="B34" i="5"/>
  <c r="C34" i="5" s="1"/>
  <c r="F13" i="2" l="1"/>
  <c r="G13" i="2" s="1"/>
  <c r="I13" i="2" s="1"/>
  <c r="J13" i="2" s="1"/>
  <c r="K13" i="2" s="1"/>
  <c r="C14" i="2" s="1"/>
  <c r="H14" i="2" s="1"/>
  <c r="D34" i="3"/>
  <c r="E33" i="1" s="1"/>
  <c r="J33" i="1" s="1"/>
  <c r="B35" i="3"/>
  <c r="C35" i="3" s="1"/>
  <c r="H34" i="1"/>
  <c r="M34" i="1" s="1"/>
  <c r="B36" i="4"/>
  <c r="C36" i="4" s="1"/>
  <c r="D34" i="5"/>
  <c r="F33" i="1" s="1"/>
  <c r="K33" i="1" s="1"/>
  <c r="B35" i="5"/>
  <c r="C35" i="5" s="1"/>
  <c r="L13" i="2" l="1"/>
  <c r="B14" i="2" s="1"/>
  <c r="D14" i="2" s="1"/>
  <c r="E14" i="2" s="1"/>
  <c r="D35" i="5"/>
  <c r="F34" i="1" s="1"/>
  <c r="K34" i="1" s="1"/>
  <c r="B36" i="5"/>
  <c r="C36" i="5" s="1"/>
  <c r="H35" i="1"/>
  <c r="M35" i="1" s="1"/>
  <c r="B37" i="4"/>
  <c r="C37" i="4" s="1"/>
  <c r="B36" i="3"/>
  <c r="C36" i="3" s="1"/>
  <c r="D35" i="3"/>
  <c r="E34" i="1" s="1"/>
  <c r="J34" i="1" s="1"/>
  <c r="M13" i="2" l="1"/>
  <c r="G12" i="1" s="1"/>
  <c r="L12" i="1" s="1"/>
  <c r="F14" i="2"/>
  <c r="G14" i="2" s="1"/>
  <c r="I14" i="2" s="1"/>
  <c r="J14" i="2" s="1"/>
  <c r="K14" i="2" s="1"/>
  <c r="B37" i="3"/>
  <c r="C37" i="3" s="1"/>
  <c r="D36" i="3"/>
  <c r="E35" i="1" s="1"/>
  <c r="J35" i="1" s="1"/>
  <c r="H36" i="1"/>
  <c r="M36" i="1" s="1"/>
  <c r="B38" i="4"/>
  <c r="C38" i="4" s="1"/>
  <c r="D36" i="5"/>
  <c r="F35" i="1" s="1"/>
  <c r="K35" i="1" s="1"/>
  <c r="B37" i="5"/>
  <c r="C37" i="5" s="1"/>
  <c r="C15" i="2" l="1"/>
  <c r="H15" i="2" s="1"/>
  <c r="L14" i="2"/>
  <c r="D37" i="5"/>
  <c r="F36" i="1" s="1"/>
  <c r="K36" i="1" s="1"/>
  <c r="B38" i="5"/>
  <c r="C38" i="5" s="1"/>
  <c r="H37" i="1"/>
  <c r="M37" i="1" s="1"/>
  <c r="B39" i="4"/>
  <c r="C39" i="4" s="1"/>
  <c r="D37" i="3"/>
  <c r="E36" i="1" s="1"/>
  <c r="J36" i="1" s="1"/>
  <c r="B38" i="3"/>
  <c r="C38" i="3" s="1"/>
  <c r="B15" i="2" l="1"/>
  <c r="D15" i="2" s="1"/>
  <c r="E15" i="2" s="1"/>
  <c r="M14" i="2"/>
  <c r="D38" i="5"/>
  <c r="F37" i="1" s="1"/>
  <c r="K37" i="1" s="1"/>
  <c r="B39" i="5"/>
  <c r="C39" i="5" s="1"/>
  <c r="H38" i="1"/>
  <c r="M38" i="1" s="1"/>
  <c r="B40" i="4"/>
  <c r="C40" i="4" s="1"/>
  <c r="B39" i="3"/>
  <c r="C39" i="3" s="1"/>
  <c r="D38" i="3"/>
  <c r="E37" i="1" s="1"/>
  <c r="J37" i="1" s="1"/>
  <c r="F15" i="2" l="1"/>
  <c r="G15" i="2" s="1"/>
  <c r="G13" i="1"/>
  <c r="L13" i="1" s="1"/>
  <c r="H39" i="1"/>
  <c r="M39" i="1" s="1"/>
  <c r="B41" i="4"/>
  <c r="C41" i="4" s="1"/>
  <c r="D39" i="5"/>
  <c r="F38" i="1" s="1"/>
  <c r="K38" i="1" s="1"/>
  <c r="B40" i="5"/>
  <c r="C40" i="5" s="1"/>
  <c r="B40" i="3"/>
  <c r="C40" i="3" s="1"/>
  <c r="D39" i="3"/>
  <c r="E38" i="1" s="1"/>
  <c r="J38" i="1" s="1"/>
  <c r="I15" i="2" l="1"/>
  <c r="J15" i="2" s="1"/>
  <c r="K15" i="2" s="1"/>
  <c r="B41" i="3"/>
  <c r="C41" i="3" s="1"/>
  <c r="D40" i="3"/>
  <c r="E39" i="1" s="1"/>
  <c r="J39" i="1" s="1"/>
  <c r="D40" i="5"/>
  <c r="F39" i="1" s="1"/>
  <c r="K39" i="1" s="1"/>
  <c r="B41" i="5"/>
  <c r="C41" i="5" s="1"/>
  <c r="B42" i="4"/>
  <c r="C42" i="4" s="1"/>
  <c r="H40" i="1"/>
  <c r="M40" i="1" s="1"/>
  <c r="L15" i="2" l="1"/>
  <c r="B16" i="2" s="1"/>
  <c r="C16" i="2"/>
  <c r="H16" i="2" s="1"/>
  <c r="H41" i="1"/>
  <c r="M41" i="1" s="1"/>
  <c r="B43" i="4"/>
  <c r="C43" i="4" s="1"/>
  <c r="D41" i="5"/>
  <c r="F40" i="1" s="1"/>
  <c r="K40" i="1" s="1"/>
  <c r="B42" i="5"/>
  <c r="C42" i="5" s="1"/>
  <c r="B42" i="3"/>
  <c r="C42" i="3" s="1"/>
  <c r="D41" i="3"/>
  <c r="E40" i="1" s="1"/>
  <c r="J40" i="1" s="1"/>
  <c r="M15" i="2" l="1"/>
  <c r="G14" i="1" s="1"/>
  <c r="L14" i="1" s="1"/>
  <c r="F16" i="2"/>
  <c r="G16" i="2" s="1"/>
  <c r="D16" i="2"/>
  <c r="E16" i="2" s="1"/>
  <c r="D42" i="3"/>
  <c r="E41" i="1" s="1"/>
  <c r="J41" i="1" s="1"/>
  <c r="B43" i="3"/>
  <c r="C43" i="3" s="1"/>
  <c r="B43" i="5"/>
  <c r="C43" i="5" s="1"/>
  <c r="D42" i="5"/>
  <c r="F41" i="1" s="1"/>
  <c r="K41" i="1" s="1"/>
  <c r="H42" i="1"/>
  <c r="M42" i="1" s="1"/>
  <c r="B44" i="4"/>
  <c r="C44" i="4" s="1"/>
  <c r="I16" i="2" l="1"/>
  <c r="J16" i="2" s="1"/>
  <c r="K16" i="2" s="1"/>
  <c r="C17" i="2" s="1"/>
  <c r="H17" i="2" s="1"/>
  <c r="H43" i="1"/>
  <c r="M43" i="1" s="1"/>
  <c r="B45" i="4"/>
  <c r="C45" i="4" s="1"/>
  <c r="D43" i="3"/>
  <c r="E42" i="1" s="1"/>
  <c r="J42" i="1" s="1"/>
  <c r="B44" i="3"/>
  <c r="C44" i="3" s="1"/>
  <c r="B44" i="5"/>
  <c r="C44" i="5" s="1"/>
  <c r="D43" i="5"/>
  <c r="F42" i="1" s="1"/>
  <c r="K42" i="1" s="1"/>
  <c r="L16" i="2" l="1"/>
  <c r="B17" i="2" s="1"/>
  <c r="F17" i="2" s="1"/>
  <c r="G17" i="2" s="1"/>
  <c r="I17" i="2" s="1"/>
  <c r="D44" i="3"/>
  <c r="E43" i="1" s="1"/>
  <c r="J43" i="1" s="1"/>
  <c r="B45" i="3"/>
  <c r="C45" i="3" s="1"/>
  <c r="D44" i="5"/>
  <c r="F43" i="1" s="1"/>
  <c r="K43" i="1" s="1"/>
  <c r="B45" i="5"/>
  <c r="C45" i="5" s="1"/>
  <c r="H44" i="1"/>
  <c r="M44" i="1" s="1"/>
  <c r="B46" i="4"/>
  <c r="C46" i="4" s="1"/>
  <c r="M16" i="2" l="1"/>
  <c r="G15" i="1" s="1"/>
  <c r="L15" i="1" s="1"/>
  <c r="D17" i="2"/>
  <c r="E17" i="2" s="1"/>
  <c r="J17" i="2"/>
  <c r="H45" i="1"/>
  <c r="M45" i="1" s="1"/>
  <c r="B47" i="4"/>
  <c r="C47" i="4" s="1"/>
  <c r="D45" i="5"/>
  <c r="F44" i="1" s="1"/>
  <c r="K44" i="1" s="1"/>
  <c r="B46" i="5"/>
  <c r="C46" i="5" s="1"/>
  <c r="D45" i="3"/>
  <c r="E44" i="1" s="1"/>
  <c r="J44" i="1" s="1"/>
  <c r="B46" i="3"/>
  <c r="C46" i="3" s="1"/>
  <c r="L17" i="2" l="1"/>
  <c r="B18" i="2" s="1"/>
  <c r="F18" i="2" s="1"/>
  <c r="G18" i="2" s="1"/>
  <c r="K17" i="2"/>
  <c r="C18" i="2" s="1"/>
  <c r="H18" i="2" s="1"/>
  <c r="D46" i="3"/>
  <c r="E45" i="1" s="1"/>
  <c r="J45" i="1" s="1"/>
  <c r="B47" i="3"/>
  <c r="C47" i="3" s="1"/>
  <c r="D46" i="5"/>
  <c r="F45" i="1" s="1"/>
  <c r="K45" i="1" s="1"/>
  <c r="B47" i="5"/>
  <c r="C47" i="5" s="1"/>
  <c r="H46" i="1"/>
  <c r="M46" i="1" s="1"/>
  <c r="B48" i="4"/>
  <c r="C48" i="4" s="1"/>
  <c r="D18" i="2" l="1"/>
  <c r="E18" i="2" s="1"/>
  <c r="M17" i="2"/>
  <c r="I18" i="2"/>
  <c r="H47" i="1"/>
  <c r="M47" i="1" s="1"/>
  <c r="B49" i="4"/>
  <c r="C49" i="4" s="1"/>
  <c r="D47" i="5"/>
  <c r="F46" i="1" s="1"/>
  <c r="K46" i="1" s="1"/>
  <c r="B48" i="5"/>
  <c r="C48" i="5" s="1"/>
  <c r="B48" i="3"/>
  <c r="C48" i="3" s="1"/>
  <c r="D47" i="3"/>
  <c r="E46" i="1" s="1"/>
  <c r="J46" i="1" s="1"/>
  <c r="J18" i="2" l="1"/>
  <c r="K18" i="2" s="1"/>
  <c r="B49" i="5"/>
  <c r="C49" i="5" s="1"/>
  <c r="D48" i="5"/>
  <c r="F47" i="1" s="1"/>
  <c r="K47" i="1" s="1"/>
  <c r="G16" i="1"/>
  <c r="L16" i="1" s="1"/>
  <c r="B49" i="3"/>
  <c r="C49" i="3" s="1"/>
  <c r="D48" i="3"/>
  <c r="E47" i="1" s="1"/>
  <c r="J47" i="1" s="1"/>
  <c r="H48" i="1"/>
  <c r="M48" i="1" s="1"/>
  <c r="B50" i="4"/>
  <c r="C50" i="4" s="1"/>
  <c r="C19" i="2" l="1"/>
  <c r="H19" i="2" s="1"/>
  <c r="L18" i="2"/>
  <c r="H49" i="1"/>
  <c r="M49" i="1" s="1"/>
  <c r="B51" i="4"/>
  <c r="C51" i="4" s="1"/>
  <c r="D49" i="5"/>
  <c r="F48" i="1" s="1"/>
  <c r="K48" i="1" s="1"/>
  <c r="B50" i="5"/>
  <c r="C50" i="5" s="1"/>
  <c r="B50" i="3"/>
  <c r="C50" i="3" s="1"/>
  <c r="D49" i="3"/>
  <c r="E48" i="1" s="1"/>
  <c r="J48" i="1" s="1"/>
  <c r="B19" i="2" l="1"/>
  <c r="M18" i="2"/>
  <c r="D50" i="5"/>
  <c r="F49" i="1" s="1"/>
  <c r="K49" i="1" s="1"/>
  <c r="B51" i="5"/>
  <c r="C51" i="5" s="1"/>
  <c r="H50" i="1"/>
  <c r="M50" i="1" s="1"/>
  <c r="B52" i="4"/>
  <c r="C52" i="4" s="1"/>
  <c r="D50" i="3"/>
  <c r="E49" i="1" s="1"/>
  <c r="J49" i="1" s="1"/>
  <c r="B51" i="3"/>
  <c r="C51" i="3" s="1"/>
  <c r="D19" i="2" l="1"/>
  <c r="E19" i="2" s="1"/>
  <c r="F19" i="2"/>
  <c r="G19" i="2" s="1"/>
  <c r="B53" i="4"/>
  <c r="C53" i="4" s="1"/>
  <c r="H51" i="1"/>
  <c r="M51" i="1" s="1"/>
  <c r="D51" i="5"/>
  <c r="F50" i="1" s="1"/>
  <c r="K50" i="1" s="1"/>
  <c r="B52" i="5"/>
  <c r="C52" i="5" s="1"/>
  <c r="B52" i="3"/>
  <c r="C52" i="3" s="1"/>
  <c r="D51" i="3"/>
  <c r="E50" i="1" s="1"/>
  <c r="J50" i="1" s="1"/>
  <c r="G17" i="1"/>
  <c r="L17" i="1" s="1"/>
  <c r="I19" i="2" l="1"/>
  <c r="J19" i="2" s="1"/>
  <c r="K19" i="2" s="1"/>
  <c r="C20" i="2" s="1"/>
  <c r="H20" i="2" s="1"/>
  <c r="H52" i="1"/>
  <c r="M52" i="1" s="1"/>
  <c r="B54" i="4"/>
  <c r="C54" i="4" s="1"/>
  <c r="D52" i="3"/>
  <c r="E51" i="1" s="1"/>
  <c r="J51" i="1" s="1"/>
  <c r="B53" i="3"/>
  <c r="C53" i="3" s="1"/>
  <c r="D52" i="5"/>
  <c r="F51" i="1" s="1"/>
  <c r="K51" i="1" s="1"/>
  <c r="B53" i="5"/>
  <c r="C53" i="5" s="1"/>
  <c r="L19" i="2" l="1"/>
  <c r="B20" i="2" s="1"/>
  <c r="D20" i="2" s="1"/>
  <c r="E20" i="2" s="1"/>
  <c r="D53" i="3"/>
  <c r="E52" i="1" s="1"/>
  <c r="J52" i="1" s="1"/>
  <c r="B54" i="3"/>
  <c r="C54" i="3" s="1"/>
  <c r="H53" i="1"/>
  <c r="M53" i="1" s="1"/>
  <c r="B55" i="4"/>
  <c r="C55" i="4" s="1"/>
  <c r="D53" i="5"/>
  <c r="F52" i="1" s="1"/>
  <c r="K52" i="1" s="1"/>
  <c r="B54" i="5"/>
  <c r="C54" i="5" s="1"/>
  <c r="M19" i="2" l="1"/>
  <c r="G18" i="1" s="1"/>
  <c r="L18" i="1" s="1"/>
  <c r="F20" i="2"/>
  <c r="G20" i="2" s="1"/>
  <c r="D54" i="5"/>
  <c r="F53" i="1" s="1"/>
  <c r="K53" i="1" s="1"/>
  <c r="B55" i="5"/>
  <c r="C55" i="5" s="1"/>
  <c r="H54" i="1"/>
  <c r="M54" i="1" s="1"/>
  <c r="B56" i="4"/>
  <c r="C56" i="4" s="1"/>
  <c r="D54" i="3"/>
  <c r="E53" i="1" s="1"/>
  <c r="J53" i="1" s="1"/>
  <c r="B55" i="3"/>
  <c r="C55" i="3" s="1"/>
  <c r="I20" i="2" l="1"/>
  <c r="J20" i="2" s="1"/>
  <c r="L20" i="2" s="1"/>
  <c r="B21" i="2" s="1"/>
  <c r="D21" i="2" s="1"/>
  <c r="E21" i="2" s="1"/>
  <c r="B57" i="4"/>
  <c r="C57" i="4" s="1"/>
  <c r="H55" i="1"/>
  <c r="M55" i="1" s="1"/>
  <c r="D55" i="3"/>
  <c r="E54" i="1" s="1"/>
  <c r="J54" i="1" s="1"/>
  <c r="B56" i="3"/>
  <c r="C56" i="3" s="1"/>
  <c r="D55" i="5"/>
  <c r="F54" i="1" s="1"/>
  <c r="K54" i="1" s="1"/>
  <c r="B56" i="5"/>
  <c r="C56" i="5" s="1"/>
  <c r="K20" i="2" l="1"/>
  <c r="C21" i="2" s="1"/>
  <c r="H21" i="2" s="1"/>
  <c r="F21" i="2"/>
  <c r="G21" i="2" s="1"/>
  <c r="D56" i="3"/>
  <c r="E55" i="1" s="1"/>
  <c r="J55" i="1" s="1"/>
  <c r="B57" i="3"/>
  <c r="C57" i="3" s="1"/>
  <c r="B58" i="4"/>
  <c r="C58" i="4" s="1"/>
  <c r="H56" i="1"/>
  <c r="M56" i="1" s="1"/>
  <c r="D56" i="5"/>
  <c r="F55" i="1" s="1"/>
  <c r="K55" i="1" s="1"/>
  <c r="B57" i="5"/>
  <c r="C57" i="5" s="1"/>
  <c r="M20" i="2" l="1"/>
  <c r="G19" i="1" s="1"/>
  <c r="L19" i="1" s="1"/>
  <c r="I21" i="2"/>
  <c r="J21" i="2" s="1"/>
  <c r="L21" i="2" s="1"/>
  <c r="B58" i="3"/>
  <c r="C58" i="3" s="1"/>
  <c r="D57" i="3"/>
  <c r="E56" i="1" s="1"/>
  <c r="J56" i="1" s="1"/>
  <c r="H57" i="1"/>
  <c r="M57" i="1" s="1"/>
  <c r="B59" i="4"/>
  <c r="C59" i="4" s="1"/>
  <c r="D57" i="5"/>
  <c r="F56" i="1" s="1"/>
  <c r="K56" i="1" s="1"/>
  <c r="B58" i="5"/>
  <c r="C58" i="5" s="1"/>
  <c r="K21" i="2" l="1"/>
  <c r="C22" i="2" s="1"/>
  <c r="H22" i="2" s="1"/>
  <c r="B22" i="2"/>
  <c r="H58" i="1"/>
  <c r="M58" i="1" s="1"/>
  <c r="B60" i="4"/>
  <c r="C60" i="4" s="1"/>
  <c r="D58" i="5"/>
  <c r="F57" i="1" s="1"/>
  <c r="K57" i="1" s="1"/>
  <c r="B59" i="5"/>
  <c r="C59" i="5" s="1"/>
  <c r="D58" i="3"/>
  <c r="E57" i="1" s="1"/>
  <c r="J57" i="1" s="1"/>
  <c r="B59" i="3"/>
  <c r="C59" i="3" s="1"/>
  <c r="F22" i="2" l="1"/>
  <c r="G22" i="2" s="1"/>
  <c r="D22" i="2"/>
  <c r="E22" i="2" s="1"/>
  <c r="M21" i="2"/>
  <c r="D59" i="3"/>
  <c r="E58" i="1" s="1"/>
  <c r="J58" i="1" s="1"/>
  <c r="B60" i="3"/>
  <c r="C60" i="3" s="1"/>
  <c r="D59" i="5"/>
  <c r="F58" i="1" s="1"/>
  <c r="K58" i="1" s="1"/>
  <c r="B60" i="5"/>
  <c r="C60" i="5" s="1"/>
  <c r="H59" i="1"/>
  <c r="M59" i="1" s="1"/>
  <c r="B61" i="4"/>
  <c r="C61" i="4" s="1"/>
  <c r="I22" i="2" l="1"/>
  <c r="J22" i="2" s="1"/>
  <c r="G20" i="1"/>
  <c r="L20" i="1" s="1"/>
  <c r="H60" i="1"/>
  <c r="M60" i="1" s="1"/>
  <c r="B62" i="4"/>
  <c r="C62" i="4" s="1"/>
  <c r="D60" i="5"/>
  <c r="F59" i="1" s="1"/>
  <c r="K59" i="1" s="1"/>
  <c r="B61" i="5"/>
  <c r="C61" i="5" s="1"/>
  <c r="B61" i="3"/>
  <c r="C61" i="3" s="1"/>
  <c r="D60" i="3"/>
  <c r="E59" i="1" s="1"/>
  <c r="J59" i="1" s="1"/>
  <c r="K22" i="2" l="1"/>
  <c r="C23" i="2" s="1"/>
  <c r="H23" i="2" s="1"/>
  <c r="L22" i="2"/>
  <c r="H61" i="1"/>
  <c r="M61" i="1" s="1"/>
  <c r="B63" i="4"/>
  <c r="C63" i="4" s="1"/>
  <c r="B62" i="3"/>
  <c r="C62" i="3" s="1"/>
  <c r="D61" i="3"/>
  <c r="E60" i="1" s="1"/>
  <c r="J60" i="1" s="1"/>
  <c r="D61" i="5"/>
  <c r="F60" i="1" s="1"/>
  <c r="K60" i="1" s="1"/>
  <c r="B62" i="5"/>
  <c r="C62" i="5" s="1"/>
  <c r="B23" i="2" l="1"/>
  <c r="M22" i="2"/>
  <c r="D62" i="5"/>
  <c r="F61" i="1" s="1"/>
  <c r="K61" i="1" s="1"/>
  <c r="B63" i="5"/>
  <c r="C63" i="5" s="1"/>
  <c r="D62" i="3"/>
  <c r="E61" i="1" s="1"/>
  <c r="J61" i="1" s="1"/>
  <c r="B63" i="3"/>
  <c r="C63" i="3" s="1"/>
  <c r="B64" i="4"/>
  <c r="C64" i="4" s="1"/>
  <c r="H62" i="1"/>
  <c r="M62" i="1" s="1"/>
  <c r="F23" i="2" l="1"/>
  <c r="G23" i="2" s="1"/>
  <c r="D23" i="2"/>
  <c r="E23" i="2" s="1"/>
  <c r="G21" i="1"/>
  <c r="L21" i="1" s="1"/>
  <c r="D63" i="3"/>
  <c r="E62" i="1" s="1"/>
  <c r="J62" i="1" s="1"/>
  <c r="B64" i="3"/>
  <c r="C64" i="3" s="1"/>
  <c r="D63" i="5"/>
  <c r="F62" i="1" s="1"/>
  <c r="K62" i="1" s="1"/>
  <c r="B64" i="5"/>
  <c r="C64" i="5" s="1"/>
  <c r="H63" i="1"/>
  <c r="M63" i="1" s="1"/>
  <c r="B65" i="4"/>
  <c r="C65" i="4" s="1"/>
  <c r="I23" i="2" l="1"/>
  <c r="J23" i="2" s="1"/>
  <c r="D64" i="5"/>
  <c r="F63" i="1" s="1"/>
  <c r="K63" i="1" s="1"/>
  <c r="B65" i="5"/>
  <c r="C65" i="5" s="1"/>
  <c r="H64" i="1"/>
  <c r="M64" i="1" s="1"/>
  <c r="B66" i="4"/>
  <c r="C66" i="4" s="1"/>
  <c r="B65" i="3"/>
  <c r="C65" i="3" s="1"/>
  <c r="D64" i="3"/>
  <c r="E63" i="1" s="1"/>
  <c r="J63" i="1" s="1"/>
  <c r="L23" i="2" l="1"/>
  <c r="K23" i="2"/>
  <c r="C24" i="2" s="1"/>
  <c r="H24" i="2" s="1"/>
  <c r="B24" i="2"/>
  <c r="H65" i="1"/>
  <c r="M65" i="1" s="1"/>
  <c r="B67" i="4"/>
  <c r="C67" i="4" s="1"/>
  <c r="D65" i="3"/>
  <c r="E64" i="1" s="1"/>
  <c r="J64" i="1" s="1"/>
  <c r="B66" i="3"/>
  <c r="C66" i="3" s="1"/>
  <c r="D65" i="5"/>
  <c r="F64" i="1" s="1"/>
  <c r="K64" i="1" s="1"/>
  <c r="B66" i="5"/>
  <c r="C66" i="5" s="1"/>
  <c r="M23" i="2" l="1"/>
  <c r="G22" i="1" s="1"/>
  <c r="L22" i="1" s="1"/>
  <c r="D24" i="2"/>
  <c r="E24" i="2" s="1"/>
  <c r="F24" i="2"/>
  <c r="G24" i="2" s="1"/>
  <c r="D66" i="5"/>
  <c r="F65" i="1" s="1"/>
  <c r="K65" i="1" s="1"/>
  <c r="B67" i="5"/>
  <c r="C67" i="5" s="1"/>
  <c r="D66" i="3"/>
  <c r="E65" i="1" s="1"/>
  <c r="J65" i="1" s="1"/>
  <c r="B67" i="3"/>
  <c r="C67" i="3" s="1"/>
  <c r="B68" i="4"/>
  <c r="C68" i="4" s="1"/>
  <c r="H66" i="1"/>
  <c r="M66" i="1" s="1"/>
  <c r="I24" i="2" l="1"/>
  <c r="J24" i="2" s="1"/>
  <c r="L24" i="2" s="1"/>
  <c r="D67" i="3"/>
  <c r="E66" i="1" s="1"/>
  <c r="J66" i="1" s="1"/>
  <c r="B68" i="3"/>
  <c r="C68" i="3" s="1"/>
  <c r="D67" i="5"/>
  <c r="F66" i="1" s="1"/>
  <c r="K66" i="1" s="1"/>
  <c r="B68" i="5"/>
  <c r="C68" i="5" s="1"/>
  <c r="H67" i="1"/>
  <c r="M67" i="1" s="1"/>
  <c r="B69" i="4"/>
  <c r="C69" i="4" s="1"/>
  <c r="K24" i="2" l="1"/>
  <c r="C25" i="2" s="1"/>
  <c r="H25" i="2" s="1"/>
  <c r="B25" i="2"/>
  <c r="D68" i="5"/>
  <c r="F67" i="1" s="1"/>
  <c r="K67" i="1" s="1"/>
  <c r="B69" i="5"/>
  <c r="C69" i="5" s="1"/>
  <c r="D68" i="3"/>
  <c r="E67" i="1" s="1"/>
  <c r="J67" i="1" s="1"/>
  <c r="B69" i="3"/>
  <c r="C69" i="3" s="1"/>
  <c r="H68" i="1"/>
  <c r="M68" i="1" s="1"/>
  <c r="B70" i="4"/>
  <c r="C70" i="4" s="1"/>
  <c r="M24" i="2" l="1"/>
  <c r="G23" i="1" s="1"/>
  <c r="L23" i="1" s="1"/>
  <c r="F25" i="2"/>
  <c r="G25" i="2" s="1"/>
  <c r="D25" i="2"/>
  <c r="E25" i="2" s="1"/>
  <c r="B70" i="3"/>
  <c r="C70" i="3" s="1"/>
  <c r="D69" i="3"/>
  <c r="E68" i="1" s="1"/>
  <c r="J68" i="1" s="1"/>
  <c r="D69" i="5"/>
  <c r="F68" i="1" s="1"/>
  <c r="K68" i="1" s="1"/>
  <c r="B70" i="5"/>
  <c r="C70" i="5" s="1"/>
  <c r="B71" i="4"/>
  <c r="C71" i="4" s="1"/>
  <c r="H69" i="1"/>
  <c r="M69" i="1" s="1"/>
  <c r="I25" i="2" l="1"/>
  <c r="J25" i="2" s="1"/>
  <c r="K25" i="2" s="1"/>
  <c r="C26" i="2" s="1"/>
  <c r="H26" i="2" s="1"/>
  <c r="D70" i="3"/>
  <c r="E69" i="1" s="1"/>
  <c r="J69" i="1" s="1"/>
  <c r="B71" i="3"/>
  <c r="C71" i="3" s="1"/>
  <c r="H70" i="1"/>
  <c r="M70" i="1" s="1"/>
  <c r="B72" i="4"/>
  <c r="C72" i="4" s="1"/>
  <c r="B71" i="5"/>
  <c r="C71" i="5" s="1"/>
  <c r="D70" i="5"/>
  <c r="F69" i="1" s="1"/>
  <c r="K69" i="1" s="1"/>
  <c r="L25" i="2" l="1"/>
  <c r="B26" i="2" s="1"/>
  <c r="D26" i="2" s="1"/>
  <c r="E26" i="2" s="1"/>
  <c r="D71" i="5"/>
  <c r="F70" i="1" s="1"/>
  <c r="K70" i="1" s="1"/>
  <c r="B72" i="5"/>
  <c r="C72" i="5" s="1"/>
  <c r="H71" i="1"/>
  <c r="M71" i="1" s="1"/>
  <c r="B73" i="4"/>
  <c r="C73" i="4" s="1"/>
  <c r="D71" i="3"/>
  <c r="E70" i="1" s="1"/>
  <c r="J70" i="1" s="1"/>
  <c r="B72" i="3"/>
  <c r="C72" i="3" s="1"/>
  <c r="M25" i="2" l="1"/>
  <c r="G24" i="1" s="1"/>
  <c r="L24" i="1" s="1"/>
  <c r="F26" i="2"/>
  <c r="G26" i="2" s="1"/>
  <c r="I26" i="2" s="1"/>
  <c r="J26" i="2" s="1"/>
  <c r="L26" i="2" s="1"/>
  <c r="D72" i="3"/>
  <c r="E71" i="1" s="1"/>
  <c r="J71" i="1" s="1"/>
  <c r="B73" i="3"/>
  <c r="C73" i="3" s="1"/>
  <c r="H72" i="1"/>
  <c r="M72" i="1" s="1"/>
  <c r="B74" i="4"/>
  <c r="C74" i="4" s="1"/>
  <c r="D72" i="5"/>
  <c r="F71" i="1" s="1"/>
  <c r="K71" i="1" s="1"/>
  <c r="B73" i="5"/>
  <c r="C73" i="5" s="1"/>
  <c r="K26" i="2" l="1"/>
  <c r="C27" i="2" s="1"/>
  <c r="M26" i="2" s="1"/>
  <c r="B27" i="2"/>
  <c r="D73" i="5"/>
  <c r="F72" i="1" s="1"/>
  <c r="K72" i="1" s="1"/>
  <c r="B74" i="5"/>
  <c r="C74" i="5" s="1"/>
  <c r="H73" i="1"/>
  <c r="M73" i="1" s="1"/>
  <c r="B75" i="4"/>
  <c r="C75" i="4" s="1"/>
  <c r="D73" i="3"/>
  <c r="E72" i="1" s="1"/>
  <c r="J72" i="1" s="1"/>
  <c r="B74" i="3"/>
  <c r="C74" i="3" s="1"/>
  <c r="D27" i="2" l="1"/>
  <c r="E27" i="2" s="1"/>
  <c r="H27" i="2"/>
  <c r="F27" i="2"/>
  <c r="G27" i="2" s="1"/>
  <c r="B76" i="4"/>
  <c r="C76" i="4" s="1"/>
  <c r="H74" i="1"/>
  <c r="M74" i="1" s="1"/>
  <c r="B75" i="5"/>
  <c r="C75" i="5" s="1"/>
  <c r="D74" i="5"/>
  <c r="F73" i="1" s="1"/>
  <c r="K73" i="1" s="1"/>
  <c r="D74" i="3"/>
  <c r="E73" i="1" s="1"/>
  <c r="J73" i="1" s="1"/>
  <c r="B75" i="3"/>
  <c r="C75" i="3" s="1"/>
  <c r="I27" i="2" l="1"/>
  <c r="J27" i="2" s="1"/>
  <c r="L27" i="2" s="1"/>
  <c r="B28" i="2" s="1"/>
  <c r="G25" i="1"/>
  <c r="L25" i="1" s="1"/>
  <c r="D75" i="5"/>
  <c r="F74" i="1" s="1"/>
  <c r="K74" i="1" s="1"/>
  <c r="B76" i="5"/>
  <c r="C76" i="5" s="1"/>
  <c r="B77" i="4"/>
  <c r="C77" i="4" s="1"/>
  <c r="H75" i="1"/>
  <c r="M75" i="1" s="1"/>
  <c r="D75" i="3"/>
  <c r="E74" i="1" s="1"/>
  <c r="J74" i="1" s="1"/>
  <c r="B76" i="3"/>
  <c r="C76" i="3" s="1"/>
  <c r="K27" i="2" l="1"/>
  <c r="C28" i="2" s="1"/>
  <c r="H28" i="2" s="1"/>
  <c r="D28" i="2"/>
  <c r="E28" i="2" s="1"/>
  <c r="F28" i="2"/>
  <c r="G28" i="2" s="1"/>
  <c r="H76" i="1"/>
  <c r="M76" i="1" s="1"/>
  <c r="B78" i="4"/>
  <c r="C78" i="4" s="1"/>
  <c r="D76" i="5"/>
  <c r="F75" i="1" s="1"/>
  <c r="K75" i="1" s="1"/>
  <c r="B77" i="5"/>
  <c r="C77" i="5" s="1"/>
  <c r="D76" i="3"/>
  <c r="E75" i="1" s="1"/>
  <c r="J75" i="1" s="1"/>
  <c r="B77" i="3"/>
  <c r="C77" i="3" s="1"/>
  <c r="M27" i="2" l="1"/>
  <c r="I28" i="2"/>
  <c r="J28" i="2" s="1"/>
  <c r="K28" i="2" s="1"/>
  <c r="C29" i="2" s="1"/>
  <c r="B78" i="3"/>
  <c r="C78" i="3" s="1"/>
  <c r="D77" i="3"/>
  <c r="E76" i="1" s="1"/>
  <c r="J76" i="1" s="1"/>
  <c r="D77" i="5"/>
  <c r="F76" i="1" s="1"/>
  <c r="K76" i="1" s="1"/>
  <c r="B78" i="5"/>
  <c r="C78" i="5" s="1"/>
  <c r="H77" i="1"/>
  <c r="M77" i="1" s="1"/>
  <c r="B79" i="4"/>
  <c r="C79" i="4" s="1"/>
  <c r="L28" i="2" l="1"/>
  <c r="B29" i="2" s="1"/>
  <c r="D29" i="2" s="1"/>
  <c r="E29" i="2" s="1"/>
  <c r="H29" i="2"/>
  <c r="G26" i="1"/>
  <c r="L26" i="1" s="1"/>
  <c r="D78" i="5"/>
  <c r="F77" i="1" s="1"/>
  <c r="K77" i="1" s="1"/>
  <c r="B79" i="5"/>
  <c r="C79" i="5" s="1"/>
  <c r="D78" i="3"/>
  <c r="E77" i="1" s="1"/>
  <c r="J77" i="1" s="1"/>
  <c r="B79" i="3"/>
  <c r="C79" i="3" s="1"/>
  <c r="B80" i="4"/>
  <c r="C80" i="4" s="1"/>
  <c r="H78" i="1"/>
  <c r="M78" i="1" s="1"/>
  <c r="F29" i="2" l="1"/>
  <c r="G29" i="2" s="1"/>
  <c r="M28" i="2"/>
  <c r="D79" i="5"/>
  <c r="F78" i="1" s="1"/>
  <c r="K78" i="1" s="1"/>
  <c r="B80" i="5"/>
  <c r="C80" i="5" s="1"/>
  <c r="D79" i="3"/>
  <c r="E78" i="1" s="1"/>
  <c r="J78" i="1" s="1"/>
  <c r="B80" i="3"/>
  <c r="C80" i="3" s="1"/>
  <c r="B81" i="4"/>
  <c r="C81" i="4" s="1"/>
  <c r="H79" i="1"/>
  <c r="M79" i="1" s="1"/>
  <c r="I29" i="2" l="1"/>
  <c r="J29" i="2" s="1"/>
  <c r="K29" i="2" s="1"/>
  <c r="D80" i="3"/>
  <c r="E79" i="1" s="1"/>
  <c r="J79" i="1" s="1"/>
  <c r="B81" i="3"/>
  <c r="C81" i="3" s="1"/>
  <c r="D80" i="5"/>
  <c r="F79" i="1" s="1"/>
  <c r="K79" i="1" s="1"/>
  <c r="B81" i="5"/>
  <c r="C81" i="5" s="1"/>
  <c r="H80" i="1"/>
  <c r="M80" i="1" s="1"/>
  <c r="B82" i="4"/>
  <c r="C82" i="4" s="1"/>
  <c r="L29" i="2" l="1"/>
  <c r="B30" i="2" s="1"/>
  <c r="C30" i="2"/>
  <c r="H30" i="2" s="1"/>
  <c r="H81" i="1"/>
  <c r="M81" i="1" s="1"/>
  <c r="B83" i="4"/>
  <c r="C83" i="4" s="1"/>
  <c r="D81" i="5"/>
  <c r="F80" i="1" s="1"/>
  <c r="K80" i="1" s="1"/>
  <c r="B82" i="5"/>
  <c r="C82" i="5" s="1"/>
  <c r="D81" i="3"/>
  <c r="E80" i="1" s="1"/>
  <c r="J80" i="1" s="1"/>
  <c r="B82" i="3"/>
  <c r="C82" i="3" s="1"/>
  <c r="M29" i="2" l="1"/>
  <c r="F30" i="2"/>
  <c r="G30" i="2" s="1"/>
  <c r="D30" i="2"/>
  <c r="E30" i="2" s="1"/>
  <c r="G27" i="1"/>
  <c r="L27" i="1" s="1"/>
  <c r="D82" i="3"/>
  <c r="E81" i="1" s="1"/>
  <c r="J81" i="1" s="1"/>
  <c r="B83" i="3"/>
  <c r="C83" i="3" s="1"/>
  <c r="B83" i="5"/>
  <c r="C83" i="5" s="1"/>
  <c r="D82" i="5"/>
  <c r="F81" i="1" s="1"/>
  <c r="K81" i="1" s="1"/>
  <c r="H82" i="1"/>
  <c r="M82" i="1" s="1"/>
  <c r="B84" i="4"/>
  <c r="C84" i="4" s="1"/>
  <c r="I30" i="2" l="1"/>
  <c r="J30" i="2" s="1"/>
  <c r="K30" i="2" s="1"/>
  <c r="D83" i="3"/>
  <c r="E82" i="1" s="1"/>
  <c r="J82" i="1" s="1"/>
  <c r="B84" i="3"/>
  <c r="C84" i="3" s="1"/>
  <c r="B85" i="4"/>
  <c r="C85" i="4" s="1"/>
  <c r="H83" i="1"/>
  <c r="M83" i="1" s="1"/>
  <c r="D83" i="5"/>
  <c r="F82" i="1" s="1"/>
  <c r="K82" i="1" s="1"/>
  <c r="B84" i="5"/>
  <c r="C84" i="5" s="1"/>
  <c r="L30" i="2" l="1"/>
  <c r="C31" i="2"/>
  <c r="H31" i="2" s="1"/>
  <c r="D84" i="5"/>
  <c r="F83" i="1" s="1"/>
  <c r="K83" i="1" s="1"/>
  <c r="B85" i="5"/>
  <c r="C85" i="5" s="1"/>
  <c r="H84" i="1"/>
  <c r="M84" i="1" s="1"/>
  <c r="B86" i="4"/>
  <c r="C86" i="4" s="1"/>
  <c r="B85" i="3"/>
  <c r="C85" i="3" s="1"/>
  <c r="D84" i="3"/>
  <c r="E83" i="1" s="1"/>
  <c r="J83" i="1" s="1"/>
  <c r="M30" i="2" l="1"/>
  <c r="B31" i="2"/>
  <c r="F31" i="2" s="1"/>
  <c r="G31" i="2" s="1"/>
  <c r="G28" i="1"/>
  <c r="L28" i="1" s="1"/>
  <c r="D85" i="3"/>
  <c r="E84" i="1" s="1"/>
  <c r="J84" i="1" s="1"/>
  <c r="B86" i="3"/>
  <c r="C86" i="3" s="1"/>
  <c r="H85" i="1"/>
  <c r="M85" i="1" s="1"/>
  <c r="B87" i="4"/>
  <c r="C87" i="4" s="1"/>
  <c r="D85" i="5"/>
  <c r="F84" i="1" s="1"/>
  <c r="K84" i="1" s="1"/>
  <c r="B86" i="5"/>
  <c r="C86" i="5" s="1"/>
  <c r="I31" i="2" l="1"/>
  <c r="J31" i="2" s="1"/>
  <c r="D31" i="2"/>
  <c r="E31" i="2" s="1"/>
  <c r="B87" i="5"/>
  <c r="C87" i="5" s="1"/>
  <c r="D86" i="5"/>
  <c r="F85" i="1" s="1"/>
  <c r="K85" i="1" s="1"/>
  <c r="B87" i="3"/>
  <c r="C87" i="3" s="1"/>
  <c r="D86" i="3"/>
  <c r="E85" i="1" s="1"/>
  <c r="J85" i="1" s="1"/>
  <c r="H86" i="1"/>
  <c r="M86" i="1" s="1"/>
  <c r="B88" i="4"/>
  <c r="C88" i="4" s="1"/>
  <c r="L31" i="2" l="1"/>
  <c r="B32" i="2" s="1"/>
  <c r="K31" i="2"/>
  <c r="C32" i="2" s="1"/>
  <c r="H87" i="1"/>
  <c r="M87" i="1" s="1"/>
  <c r="B89" i="4"/>
  <c r="C89" i="4" s="1"/>
  <c r="D87" i="5"/>
  <c r="F86" i="1" s="1"/>
  <c r="K86" i="1" s="1"/>
  <c r="B88" i="5"/>
  <c r="C88" i="5" s="1"/>
  <c r="D87" i="3"/>
  <c r="E86" i="1" s="1"/>
  <c r="J86" i="1" s="1"/>
  <c r="B88" i="3"/>
  <c r="C88" i="3" s="1"/>
  <c r="H32" i="2" l="1"/>
  <c r="M31" i="2"/>
  <c r="F32" i="2"/>
  <c r="G32" i="2" s="1"/>
  <c r="D32" i="2"/>
  <c r="E32" i="2" s="1"/>
  <c r="G29" i="1"/>
  <c r="L29" i="1" s="1"/>
  <c r="B89" i="3"/>
  <c r="C89" i="3" s="1"/>
  <c r="D88" i="3"/>
  <c r="E87" i="1" s="1"/>
  <c r="J87" i="1" s="1"/>
  <c r="D88" i="5"/>
  <c r="F87" i="1" s="1"/>
  <c r="K87" i="1" s="1"/>
  <c r="B89" i="5"/>
  <c r="C89" i="5" s="1"/>
  <c r="H88" i="1"/>
  <c r="M88" i="1" s="1"/>
  <c r="B90" i="4"/>
  <c r="C90" i="4" s="1"/>
  <c r="I32" i="2" l="1"/>
  <c r="J32" i="2" s="1"/>
  <c r="D89" i="3"/>
  <c r="E88" i="1" s="1"/>
  <c r="J88" i="1" s="1"/>
  <c r="B90" i="3"/>
  <c r="C90" i="3" s="1"/>
  <c r="B91" i="4"/>
  <c r="C91" i="4" s="1"/>
  <c r="H89" i="1"/>
  <c r="M89" i="1" s="1"/>
  <c r="D89" i="5"/>
  <c r="F88" i="1" s="1"/>
  <c r="K88" i="1" s="1"/>
  <c r="B90" i="5"/>
  <c r="C90" i="5" s="1"/>
  <c r="K32" i="2" l="1"/>
  <c r="C33" i="2" s="1"/>
  <c r="H33" i="2" s="1"/>
  <c r="L32" i="2"/>
  <c r="D90" i="5"/>
  <c r="F89" i="1" s="1"/>
  <c r="K89" i="1" s="1"/>
  <c r="B91" i="5"/>
  <c r="C91" i="5" s="1"/>
  <c r="H90" i="1"/>
  <c r="M90" i="1" s="1"/>
  <c r="B92" i="4"/>
  <c r="C92" i="4" s="1"/>
  <c r="D90" i="3"/>
  <c r="E89" i="1" s="1"/>
  <c r="J89" i="1" s="1"/>
  <c r="B91" i="3"/>
  <c r="C91" i="3" s="1"/>
  <c r="B33" i="2" l="1"/>
  <c r="M32" i="2"/>
  <c r="H91" i="1"/>
  <c r="M91" i="1" s="1"/>
  <c r="B93" i="4"/>
  <c r="C93" i="4" s="1"/>
  <c r="D91" i="5"/>
  <c r="F90" i="1" s="1"/>
  <c r="K90" i="1" s="1"/>
  <c r="B92" i="5"/>
  <c r="C92" i="5" s="1"/>
  <c r="D91" i="3"/>
  <c r="E90" i="1" s="1"/>
  <c r="J90" i="1" s="1"/>
  <c r="B92" i="3"/>
  <c r="C92" i="3" s="1"/>
  <c r="G30" i="1"/>
  <c r="L30" i="1" s="1"/>
  <c r="F33" i="2" l="1"/>
  <c r="G33" i="2" s="1"/>
  <c r="D33" i="2"/>
  <c r="E33" i="2" s="1"/>
  <c r="D92" i="5"/>
  <c r="F91" i="1" s="1"/>
  <c r="K91" i="1" s="1"/>
  <c r="B93" i="5"/>
  <c r="C93" i="5" s="1"/>
  <c r="D92" i="3"/>
  <c r="E91" i="1" s="1"/>
  <c r="J91" i="1" s="1"/>
  <c r="B93" i="3"/>
  <c r="C93" i="3" s="1"/>
  <c r="H92" i="1"/>
  <c r="M92" i="1" s="1"/>
  <c r="B94" i="4"/>
  <c r="C94" i="4" s="1"/>
  <c r="I33" i="2" l="1"/>
  <c r="J33" i="2" s="1"/>
  <c r="K33" i="2" s="1"/>
  <c r="C34" i="2" s="1"/>
  <c r="H34" i="2" s="1"/>
  <c r="D93" i="3"/>
  <c r="E92" i="1" s="1"/>
  <c r="J92" i="1" s="1"/>
  <c r="B94" i="3"/>
  <c r="C94" i="3" s="1"/>
  <c r="H93" i="1"/>
  <c r="M93" i="1" s="1"/>
  <c r="B95" i="4"/>
  <c r="C95" i="4" s="1"/>
  <c r="D93" i="5"/>
  <c r="F92" i="1" s="1"/>
  <c r="K92" i="1" s="1"/>
  <c r="B94" i="5"/>
  <c r="C94" i="5" s="1"/>
  <c r="G31" i="1"/>
  <c r="L31" i="1" s="1"/>
  <c r="L33" i="2" l="1"/>
  <c r="B34" i="2" s="1"/>
  <c r="D34" i="2" s="1"/>
  <c r="E34" i="2" s="1"/>
  <c r="D94" i="5"/>
  <c r="F93" i="1" s="1"/>
  <c r="K93" i="1" s="1"/>
  <c r="B95" i="5"/>
  <c r="C95" i="5" s="1"/>
  <c r="B96" i="4"/>
  <c r="C96" i="4" s="1"/>
  <c r="H94" i="1"/>
  <c r="M94" i="1" s="1"/>
  <c r="D94" i="3"/>
  <c r="E93" i="1" s="1"/>
  <c r="J93" i="1" s="1"/>
  <c r="B95" i="3"/>
  <c r="C95" i="3" s="1"/>
  <c r="M33" i="2" l="1"/>
  <c r="F34" i="2"/>
  <c r="G34" i="2" s="1"/>
  <c r="I34" i="2" s="1"/>
  <c r="J34" i="2" s="1"/>
  <c r="L34" i="2" s="1"/>
  <c r="D95" i="3"/>
  <c r="E94" i="1" s="1"/>
  <c r="J94" i="1" s="1"/>
  <c r="B96" i="3"/>
  <c r="C96" i="3" s="1"/>
  <c r="B97" i="4"/>
  <c r="C97" i="4" s="1"/>
  <c r="H95" i="1"/>
  <c r="M95" i="1" s="1"/>
  <c r="D95" i="5"/>
  <c r="F94" i="1" s="1"/>
  <c r="K94" i="1" s="1"/>
  <c r="B96" i="5"/>
  <c r="C96" i="5" s="1"/>
  <c r="K34" i="2" l="1"/>
  <c r="C35" i="2" s="1"/>
  <c r="M34" i="2" s="1"/>
  <c r="B35" i="2"/>
  <c r="F35" i="2" s="1"/>
  <c r="G35" i="2" s="1"/>
  <c r="D96" i="5"/>
  <c r="F95" i="1" s="1"/>
  <c r="K95" i="1" s="1"/>
  <c r="B97" i="5"/>
  <c r="C97" i="5" s="1"/>
  <c r="H96" i="1"/>
  <c r="M96" i="1" s="1"/>
  <c r="B98" i="4"/>
  <c r="C98" i="4" s="1"/>
  <c r="D96" i="3"/>
  <c r="E95" i="1" s="1"/>
  <c r="J95" i="1" s="1"/>
  <c r="B97" i="3"/>
  <c r="C97" i="3" s="1"/>
  <c r="D35" i="2" l="1"/>
  <c r="E35" i="2" s="1"/>
  <c r="H35" i="2"/>
  <c r="I35" i="2" s="1"/>
  <c r="G32" i="1"/>
  <c r="L32" i="1" s="1"/>
  <c r="B99" i="4"/>
  <c r="C99" i="4" s="1"/>
  <c r="H97" i="1"/>
  <c r="M97" i="1" s="1"/>
  <c r="D97" i="5"/>
  <c r="F96" i="1" s="1"/>
  <c r="K96" i="1" s="1"/>
  <c r="B98" i="5"/>
  <c r="C98" i="5" s="1"/>
  <c r="D97" i="3"/>
  <c r="E96" i="1" s="1"/>
  <c r="J96" i="1" s="1"/>
  <c r="B98" i="3"/>
  <c r="C98" i="3" s="1"/>
  <c r="J35" i="2" l="1"/>
  <c r="D98" i="5"/>
  <c r="F97" i="1" s="1"/>
  <c r="K97" i="1" s="1"/>
  <c r="B99" i="5"/>
  <c r="C99" i="5" s="1"/>
  <c r="B100" i="4"/>
  <c r="C100" i="4" s="1"/>
  <c r="H98" i="1"/>
  <c r="M98" i="1" s="1"/>
  <c r="D98" i="3"/>
  <c r="E97" i="1" s="1"/>
  <c r="J97" i="1" s="1"/>
  <c r="B99" i="3"/>
  <c r="C99" i="3" s="1"/>
  <c r="L35" i="2" l="1"/>
  <c r="B36" i="2" s="1"/>
  <c r="F36" i="2" s="1"/>
  <c r="G36" i="2" s="1"/>
  <c r="K35" i="2"/>
  <c r="C36" i="2" s="1"/>
  <c r="H36" i="2" s="1"/>
  <c r="B101" i="4"/>
  <c r="C101" i="4" s="1"/>
  <c r="H99" i="1"/>
  <c r="M99" i="1" s="1"/>
  <c r="D99" i="5"/>
  <c r="F98" i="1" s="1"/>
  <c r="K98" i="1" s="1"/>
  <c r="B100" i="5"/>
  <c r="C100" i="5" s="1"/>
  <c r="B100" i="3"/>
  <c r="C100" i="3" s="1"/>
  <c r="D99" i="3"/>
  <c r="E98" i="1" s="1"/>
  <c r="J98" i="1" s="1"/>
  <c r="G33" i="1"/>
  <c r="L33" i="1" s="1"/>
  <c r="D36" i="2" l="1"/>
  <c r="E36" i="2" s="1"/>
  <c r="M35" i="2"/>
  <c r="I36" i="2"/>
  <c r="B101" i="3"/>
  <c r="C101" i="3" s="1"/>
  <c r="D100" i="3"/>
  <c r="E99" i="1" s="1"/>
  <c r="J99" i="1" s="1"/>
  <c r="D100" i="5"/>
  <c r="F99" i="1" s="1"/>
  <c r="K99" i="1" s="1"/>
  <c r="B101" i="5"/>
  <c r="C101" i="5" s="1"/>
  <c r="B102" i="4"/>
  <c r="C102" i="4" s="1"/>
  <c r="H100" i="1"/>
  <c r="M100" i="1" s="1"/>
  <c r="J36" i="2" l="1"/>
  <c r="D101" i="5"/>
  <c r="F100" i="1" s="1"/>
  <c r="K100" i="1" s="1"/>
  <c r="B102" i="5"/>
  <c r="C102" i="5" s="1"/>
  <c r="B103" i="4"/>
  <c r="C103" i="4" s="1"/>
  <c r="H101" i="1"/>
  <c r="M101" i="1" s="1"/>
  <c r="D101" i="3"/>
  <c r="E100" i="1" s="1"/>
  <c r="J100" i="1" s="1"/>
  <c r="B102" i="3"/>
  <c r="C102" i="3" s="1"/>
  <c r="L36" i="2" l="1"/>
  <c r="B37" i="2" s="1"/>
  <c r="K36" i="2"/>
  <c r="C37" i="2" s="1"/>
  <c r="H37" i="2" s="1"/>
  <c r="D102" i="3"/>
  <c r="E101" i="1" s="1"/>
  <c r="J101" i="1" s="1"/>
  <c r="B103" i="3"/>
  <c r="C103" i="3" s="1"/>
  <c r="D103" i="3" s="1"/>
  <c r="G34" i="1"/>
  <c r="L34" i="1" s="1"/>
  <c r="D102" i="5"/>
  <c r="F101" i="1" s="1"/>
  <c r="K101" i="1" s="1"/>
  <c r="B103" i="5"/>
  <c r="C103" i="5" s="1"/>
  <c r="D103" i="5" s="1"/>
  <c r="F37" i="2" l="1"/>
  <c r="G37" i="2" s="1"/>
  <c r="D37" i="2"/>
  <c r="E37" i="2" s="1"/>
  <c r="M36" i="2"/>
  <c r="G35" i="1" s="1"/>
  <c r="L35" i="1" s="1"/>
  <c r="I37" i="2" l="1"/>
  <c r="J37" i="2" l="1"/>
  <c r="L37" i="2" l="1"/>
  <c r="B38" i="2" s="1"/>
  <c r="K37" i="2"/>
  <c r="C38" i="2" s="1"/>
  <c r="H38" i="2" s="1"/>
  <c r="D38" i="2" l="1"/>
  <c r="E38" i="2" s="1"/>
  <c r="F38" i="2"/>
  <c r="G38" i="2" s="1"/>
  <c r="M37" i="2"/>
  <c r="G36" i="1" s="1"/>
  <c r="L36" i="1" s="1"/>
  <c r="I38" i="2" l="1"/>
  <c r="J38" i="2"/>
  <c r="L38" i="2" s="1"/>
  <c r="K38" i="2" l="1"/>
  <c r="C39" i="2" s="1"/>
  <c r="H39" i="2" s="1"/>
  <c r="B39" i="2"/>
  <c r="F39" i="2" s="1"/>
  <c r="G39" i="2" s="1"/>
  <c r="D39" i="2" l="1"/>
  <c r="E39" i="2" s="1"/>
  <c r="M38" i="2"/>
  <c r="G37" i="1" s="1"/>
  <c r="L37" i="1" s="1"/>
  <c r="I39" i="2"/>
  <c r="J39" i="2" l="1"/>
  <c r="K39" i="2" l="1"/>
  <c r="C40" i="2" s="1"/>
  <c r="H40" i="2" s="1"/>
  <c r="L39" i="2"/>
  <c r="M39" i="2" l="1"/>
  <c r="G38" i="1" s="1"/>
  <c r="L38" i="1" s="1"/>
  <c r="B40" i="2"/>
  <c r="F40" i="2" s="1"/>
  <c r="G40" i="2" s="1"/>
  <c r="D40" i="2" l="1"/>
  <c r="E40" i="2" s="1"/>
  <c r="I40" i="2"/>
  <c r="J40" i="2" l="1"/>
  <c r="L40" i="2" l="1"/>
  <c r="B41" i="2" s="1"/>
  <c r="F41" i="2" s="1"/>
  <c r="G41" i="2" s="1"/>
  <c r="K40" i="2"/>
  <c r="C41" i="2" s="1"/>
  <c r="H41" i="2" s="1"/>
  <c r="D41" i="2" l="1"/>
  <c r="E41" i="2" s="1"/>
  <c r="M40" i="2"/>
  <c r="G39" i="1" s="1"/>
  <c r="L39" i="1" s="1"/>
  <c r="I41" i="2"/>
  <c r="J41" i="2" l="1"/>
  <c r="K41" i="2" s="1"/>
  <c r="C42" i="2" l="1"/>
  <c r="H42" i="2" s="1"/>
  <c r="L41" i="2"/>
  <c r="M41" i="2" s="1"/>
  <c r="G40" i="1" s="1"/>
  <c r="L40" i="1" s="1"/>
  <c r="B42" i="2" l="1"/>
  <c r="D42" i="2" s="1"/>
  <c r="E42" i="2" s="1"/>
  <c r="F42" i="2" l="1"/>
  <c r="G42" i="2" s="1"/>
  <c r="I42" i="2" l="1"/>
  <c r="J42" i="2" l="1"/>
  <c r="L42" i="2" l="1"/>
  <c r="B43" i="2" s="1"/>
  <c r="K42" i="2"/>
  <c r="C43" i="2" s="1"/>
  <c r="M42" i="2" l="1"/>
  <c r="G41" i="1" s="1"/>
  <c r="L41" i="1" s="1"/>
  <c r="D43" i="2"/>
  <c r="E43" i="2" s="1"/>
  <c r="H43" i="2"/>
  <c r="F43" i="2"/>
  <c r="G43" i="2" s="1"/>
  <c r="I43" i="2" l="1"/>
  <c r="J43" i="2" s="1"/>
  <c r="L43" i="2" l="1"/>
  <c r="B44" i="2" s="1"/>
  <c r="D44" i="2" s="1"/>
  <c r="E44" i="2" s="1"/>
  <c r="K43" i="2"/>
  <c r="C44" i="2" s="1"/>
  <c r="M43" i="2" l="1"/>
  <c r="G42" i="1" s="1"/>
  <c r="L42" i="1" s="1"/>
  <c r="H44" i="2"/>
  <c r="F44" i="2"/>
  <c r="G44" i="2" s="1"/>
  <c r="I44" i="2" l="1"/>
  <c r="J44" i="2" s="1"/>
  <c r="L44" i="2" s="1"/>
  <c r="K44" i="2" l="1"/>
  <c r="C45" i="2" s="1"/>
  <c r="M44" i="2" s="1"/>
  <c r="G43" i="1" s="1"/>
  <c r="L43" i="1" s="1"/>
  <c r="B45" i="2"/>
  <c r="F45" i="2" s="1"/>
  <c r="G45" i="2" s="1"/>
  <c r="D45" i="2" l="1"/>
  <c r="E45" i="2" s="1"/>
  <c r="H45" i="2"/>
  <c r="I45" i="2" s="1"/>
  <c r="J45" i="2" l="1"/>
  <c r="K45" i="2" s="1"/>
  <c r="C46" i="2" l="1"/>
  <c r="H46" i="2" s="1"/>
  <c r="L45" i="2"/>
  <c r="B46" i="2" s="1"/>
  <c r="F46" i="2" l="1"/>
  <c r="G46" i="2" s="1"/>
  <c r="M45" i="2"/>
  <c r="G44" i="1" s="1"/>
  <c r="L44" i="1" s="1"/>
  <c r="D46" i="2"/>
  <c r="E46" i="2" s="1"/>
  <c r="I46" i="2" l="1"/>
  <c r="J46" i="2"/>
  <c r="K46" i="2" l="1"/>
  <c r="C47" i="2" s="1"/>
  <c r="H47" i="2" s="1"/>
  <c r="L46" i="2"/>
  <c r="B47" i="2" s="1"/>
  <c r="F47" i="2" l="1"/>
  <c r="G47" i="2" s="1"/>
  <c r="M46" i="2"/>
  <c r="G45" i="1" s="1"/>
  <c r="L45" i="1" s="1"/>
  <c r="D47" i="2"/>
  <c r="E47" i="2" s="1"/>
  <c r="I47" i="2" l="1"/>
  <c r="J47" i="2" s="1"/>
  <c r="K47" i="2" l="1"/>
  <c r="C48" i="2" s="1"/>
  <c r="H48" i="2" s="1"/>
  <c r="L47" i="2"/>
  <c r="M47" i="2" l="1"/>
  <c r="G46" i="1" s="1"/>
  <c r="L46" i="1" s="1"/>
  <c r="B48" i="2"/>
  <c r="F48" i="2" s="1"/>
  <c r="D48" i="2" l="1"/>
  <c r="E48" i="2" s="1"/>
  <c r="G48" i="2"/>
  <c r="I48" i="2" l="1"/>
  <c r="J48" i="2" l="1"/>
  <c r="L48" i="2" l="1"/>
  <c r="B49" i="2" s="1"/>
  <c r="D49" i="2" s="1"/>
  <c r="E49" i="2" s="1"/>
  <c r="K48" i="2"/>
  <c r="C49" i="2" s="1"/>
  <c r="H49" i="2" s="1"/>
  <c r="F49" i="2" l="1"/>
  <c r="G49" i="2" s="1"/>
  <c r="M48" i="2"/>
  <c r="G47" i="1" s="1"/>
  <c r="L47" i="1" s="1"/>
  <c r="I49" i="2" l="1"/>
  <c r="J49" i="2" l="1"/>
  <c r="L49" i="2" l="1"/>
  <c r="B50" i="2" s="1"/>
  <c r="F50" i="2" s="1"/>
  <c r="K49" i="2"/>
  <c r="C50" i="2" s="1"/>
  <c r="H50" i="2" s="1"/>
  <c r="D50" i="2" l="1"/>
  <c r="E50" i="2" s="1"/>
  <c r="M49" i="2"/>
  <c r="G48" i="1" s="1"/>
  <c r="L48" i="1" s="1"/>
  <c r="G50" i="2"/>
  <c r="I50" i="2" l="1"/>
  <c r="J50" i="2" l="1"/>
  <c r="L50" i="2" l="1"/>
  <c r="B51" i="2" s="1"/>
  <c r="K50" i="2"/>
  <c r="C51" i="2" s="1"/>
  <c r="H51" i="2" s="1"/>
  <c r="D51" i="2" l="1"/>
  <c r="E51" i="2" s="1"/>
  <c r="F51" i="2"/>
  <c r="G51" i="2" s="1"/>
  <c r="I51" i="2" s="1"/>
  <c r="M50" i="2"/>
  <c r="G49" i="1" s="1"/>
  <c r="L49" i="1" s="1"/>
  <c r="J51" i="2" l="1"/>
  <c r="L51" i="2" s="1"/>
  <c r="K51" i="2" l="1"/>
  <c r="B52" i="2"/>
  <c r="F52" i="2" s="1"/>
  <c r="G52" i="2" s="1"/>
  <c r="C52" i="2"/>
  <c r="H52" i="2" s="1"/>
  <c r="D52" i="2" l="1"/>
  <c r="E52" i="2" s="1"/>
  <c r="M51" i="2"/>
  <c r="G50" i="1" s="1"/>
  <c r="L50" i="1" s="1"/>
  <c r="I52" i="2"/>
  <c r="J52" i="2" l="1"/>
  <c r="L52" i="2" l="1"/>
  <c r="B53" i="2" s="1"/>
  <c r="K52" i="2"/>
  <c r="C53" i="2" s="1"/>
  <c r="H53" i="2" s="1"/>
  <c r="F53" i="2" l="1"/>
  <c r="G53" i="2" s="1"/>
  <c r="M52" i="2"/>
  <c r="G51" i="1" s="1"/>
  <c r="L51" i="1" s="1"/>
  <c r="D53" i="2"/>
  <c r="E53" i="2" s="1"/>
  <c r="I53" i="2" l="1"/>
  <c r="J53" i="2" s="1"/>
  <c r="L53" i="2" s="1"/>
  <c r="K53" i="2" l="1"/>
  <c r="C54" i="2" s="1"/>
  <c r="H54" i="2" s="1"/>
  <c r="B54" i="2"/>
  <c r="F54" i="2" l="1"/>
  <c r="G54" i="2" s="1"/>
  <c r="D54" i="2"/>
  <c r="E54" i="2" s="1"/>
  <c r="M53" i="2"/>
  <c r="G52" i="1" s="1"/>
  <c r="L52" i="1" s="1"/>
  <c r="I54" i="2" l="1"/>
  <c r="J54" i="2" s="1"/>
  <c r="L54" i="2" s="1"/>
  <c r="K54" i="2" l="1"/>
  <c r="C55" i="2" s="1"/>
  <c r="H55" i="2" s="1"/>
  <c r="B55" i="2"/>
  <c r="F55" i="2" s="1"/>
  <c r="G55" i="2" s="1"/>
  <c r="D55" i="2" l="1"/>
  <c r="E55" i="2" s="1"/>
  <c r="M54" i="2"/>
  <c r="G53" i="1" s="1"/>
  <c r="L53" i="1" s="1"/>
  <c r="I55" i="2"/>
  <c r="J55" i="2" l="1"/>
  <c r="K55" i="2" s="1"/>
  <c r="C56" i="2" l="1"/>
  <c r="H56" i="2" s="1"/>
  <c r="L55" i="2"/>
  <c r="B56" i="2" s="1"/>
  <c r="M55" i="2" l="1"/>
  <c r="G54" i="1" s="1"/>
  <c r="L54" i="1" s="1"/>
  <c r="F56" i="2"/>
  <c r="G56" i="2" s="1"/>
  <c r="D56" i="2"/>
  <c r="E56" i="2" s="1"/>
  <c r="I56" i="2" l="1"/>
  <c r="J56" i="2" l="1"/>
  <c r="L56" i="2" l="1"/>
  <c r="B57" i="2" s="1"/>
  <c r="K56" i="2"/>
  <c r="C57" i="2" s="1"/>
  <c r="F57" i="2" l="1"/>
  <c r="G57" i="2" s="1"/>
  <c r="D57" i="2"/>
  <c r="E57" i="2" s="1"/>
  <c r="M56" i="2"/>
  <c r="G55" i="1" s="1"/>
  <c r="L55" i="1" s="1"/>
  <c r="H57" i="2"/>
  <c r="I57" i="2" l="1"/>
  <c r="J57" i="2" s="1"/>
  <c r="K57" i="2" s="1"/>
  <c r="C58" i="2" l="1"/>
  <c r="H58" i="2" s="1"/>
  <c r="L57" i="2"/>
  <c r="M57" i="2" s="1"/>
  <c r="G56" i="1" s="1"/>
  <c r="L56" i="1" s="1"/>
  <c r="B58" i="2" l="1"/>
  <c r="D58" i="2" s="1"/>
  <c r="E58" i="2" s="1"/>
  <c r="F58" i="2" l="1"/>
  <c r="G58" i="2" s="1"/>
  <c r="I58" i="2" l="1"/>
  <c r="J58" i="2" l="1"/>
  <c r="L58" i="2" l="1"/>
  <c r="B59" i="2" s="1"/>
  <c r="D59" i="2" s="1"/>
  <c r="E59" i="2" s="1"/>
  <c r="K58" i="2"/>
  <c r="C59" i="2" s="1"/>
  <c r="H59" i="2" s="1"/>
  <c r="M58" i="2" l="1"/>
  <c r="G57" i="1" s="1"/>
  <c r="L57" i="1" s="1"/>
  <c r="F59" i="2"/>
  <c r="G59" i="2" s="1"/>
  <c r="I59" i="2" l="1"/>
  <c r="J59" i="2" s="1"/>
  <c r="L59" i="2" s="1"/>
  <c r="K59" i="2" l="1"/>
  <c r="C60" i="2" s="1"/>
  <c r="H60" i="2" s="1"/>
  <c r="B60" i="2"/>
  <c r="D60" i="2" l="1"/>
  <c r="E60" i="2" s="1"/>
  <c r="F60" i="2"/>
  <c r="G60" i="2" s="1"/>
  <c r="M59" i="2"/>
  <c r="G58" i="1" s="1"/>
  <c r="L58" i="1" s="1"/>
  <c r="I60" i="2" l="1"/>
  <c r="J60" i="2"/>
  <c r="L60" i="2" s="1"/>
  <c r="K60" i="2" l="1"/>
  <c r="C61" i="2" s="1"/>
  <c r="H61" i="2" s="1"/>
  <c r="B61" i="2"/>
  <c r="F61" i="2" l="1"/>
  <c r="G61" i="2" s="1"/>
  <c r="D61" i="2"/>
  <c r="E61" i="2" s="1"/>
  <c r="M60" i="2"/>
  <c r="G59" i="1" s="1"/>
  <c r="L59" i="1" s="1"/>
  <c r="I61" i="2" l="1"/>
  <c r="J61" i="2" s="1"/>
  <c r="L61" i="2" s="1"/>
  <c r="K61" i="2" l="1"/>
  <c r="C62" i="2" s="1"/>
  <c r="M61" i="2" s="1"/>
  <c r="G60" i="1" s="1"/>
  <c r="L60" i="1" s="1"/>
  <c r="B62" i="2"/>
  <c r="F62" i="2" l="1"/>
  <c r="G62" i="2" s="1"/>
  <c r="D62" i="2"/>
  <c r="E62" i="2" s="1"/>
  <c r="H62" i="2"/>
  <c r="I62" i="2" l="1"/>
  <c r="J62" i="2" s="1"/>
  <c r="L62" i="2" s="1"/>
  <c r="K62" i="2" l="1"/>
  <c r="C63" i="2" s="1"/>
  <c r="H63" i="2" s="1"/>
  <c r="B63" i="2"/>
  <c r="F63" i="2" l="1"/>
  <c r="G63" i="2" s="1"/>
  <c r="D63" i="2"/>
  <c r="E63" i="2" s="1"/>
  <c r="M62" i="2"/>
  <c r="G61" i="1" s="1"/>
  <c r="L61" i="1" s="1"/>
  <c r="I63" i="2" l="1"/>
  <c r="J63" i="2" s="1"/>
  <c r="L63" i="2" s="1"/>
  <c r="K63" i="2" l="1"/>
  <c r="C64" i="2" s="1"/>
  <c r="H64" i="2" s="1"/>
  <c r="B64" i="2"/>
  <c r="D64" i="2" l="1"/>
  <c r="E64" i="2" s="1"/>
  <c r="F64" i="2"/>
  <c r="G64" i="2" s="1"/>
  <c r="M63" i="2"/>
  <c r="G62" i="1" s="1"/>
  <c r="L62" i="1" s="1"/>
  <c r="I64" i="2" l="1"/>
  <c r="J64" i="2" l="1"/>
  <c r="L64" i="2" l="1"/>
  <c r="B65" i="2" s="1"/>
  <c r="F65" i="2" s="1"/>
  <c r="G65" i="2" s="1"/>
  <c r="K64" i="2"/>
  <c r="C65" i="2" s="1"/>
  <c r="H65" i="2" s="1"/>
  <c r="D65" i="2" l="1"/>
  <c r="E65" i="2" s="1"/>
  <c r="M64" i="2"/>
  <c r="G63" i="1" s="1"/>
  <c r="L63" i="1" s="1"/>
  <c r="I65" i="2"/>
  <c r="J65" i="2" l="1"/>
  <c r="K65" i="2" s="1"/>
  <c r="C66" i="2" l="1"/>
  <c r="H66" i="2" s="1"/>
  <c r="L65" i="2"/>
  <c r="M65" i="2" l="1"/>
  <c r="G64" i="1" s="1"/>
  <c r="L64" i="1" s="1"/>
  <c r="B66" i="2"/>
  <c r="D66" i="2" s="1"/>
  <c r="E66" i="2" s="1"/>
  <c r="F66" i="2" l="1"/>
  <c r="G66" i="2" s="1"/>
  <c r="I66" i="2" s="1"/>
  <c r="J66" i="2" s="1"/>
  <c r="K66" i="2" s="1"/>
  <c r="C67" i="2" s="1"/>
  <c r="H67" i="2" s="1"/>
  <c r="L66" i="2" l="1"/>
  <c r="B67" i="2" s="1"/>
  <c r="F67" i="2" s="1"/>
  <c r="G67" i="2" s="1"/>
  <c r="M66" i="2" l="1"/>
  <c r="G65" i="1" s="1"/>
  <c r="L65" i="1" s="1"/>
  <c r="D67" i="2"/>
  <c r="E67" i="2" s="1"/>
  <c r="I67" i="2"/>
  <c r="J67" i="2" s="1"/>
  <c r="K67" i="2" l="1"/>
  <c r="C68" i="2" s="1"/>
  <c r="H68" i="2" s="1"/>
  <c r="L67" i="2"/>
  <c r="M67" i="2" l="1"/>
  <c r="G66" i="1" s="1"/>
  <c r="L66" i="1" s="1"/>
  <c r="B68" i="2"/>
  <c r="D68" i="2" l="1"/>
  <c r="E68" i="2" s="1"/>
  <c r="F68" i="2"/>
  <c r="G68" i="2" s="1"/>
  <c r="I68" i="2" l="1"/>
  <c r="J68" i="2"/>
  <c r="L68" i="2" s="1"/>
  <c r="K68" i="2" l="1"/>
  <c r="C69" i="2" s="1"/>
  <c r="M68" i="2" s="1"/>
  <c r="G67" i="1" s="1"/>
  <c r="L67" i="1" s="1"/>
  <c r="B69" i="2"/>
  <c r="H69" i="2" l="1"/>
  <c r="F69" i="2"/>
  <c r="G69" i="2" s="1"/>
  <c r="D69" i="2"/>
  <c r="E69" i="2" s="1"/>
  <c r="I69" i="2" l="1"/>
  <c r="J69" i="2" l="1"/>
  <c r="L69" i="2" l="1"/>
  <c r="B70" i="2" s="1"/>
  <c r="K69" i="2"/>
  <c r="C70" i="2" s="1"/>
  <c r="H70" i="2" s="1"/>
  <c r="M69" i="2" l="1"/>
  <c r="G68" i="1" s="1"/>
  <c r="L68" i="1" s="1"/>
  <c r="D70" i="2"/>
  <c r="E70" i="2" s="1"/>
  <c r="F70" i="2"/>
  <c r="G70" i="2" s="1"/>
  <c r="I70" i="2" l="1"/>
  <c r="J70" i="2" s="1"/>
  <c r="L70" i="2" s="1"/>
  <c r="K70" i="2" l="1"/>
  <c r="C71" i="2" s="1"/>
  <c r="H71" i="2" s="1"/>
  <c r="B71" i="2"/>
  <c r="F71" i="2" l="1"/>
  <c r="G71" i="2" s="1"/>
  <c r="I71" i="2" s="1"/>
  <c r="D71" i="2"/>
  <c r="E71" i="2" s="1"/>
  <c r="M70" i="2"/>
  <c r="G69" i="1" s="1"/>
  <c r="L69" i="1" s="1"/>
  <c r="J71" i="2" l="1"/>
  <c r="L71" i="2" s="1"/>
  <c r="K71" i="2" l="1"/>
  <c r="C72" i="2" s="1"/>
  <c r="M71" i="2" s="1"/>
  <c r="G70" i="1" s="1"/>
  <c r="L70" i="1" s="1"/>
  <c r="B72" i="2"/>
  <c r="H72" i="2" l="1"/>
  <c r="D72" i="2"/>
  <c r="E72" i="2" s="1"/>
  <c r="F72" i="2"/>
  <c r="G72" i="2" s="1"/>
  <c r="I72" i="2" l="1"/>
  <c r="J72" i="2" s="1"/>
  <c r="K72" i="2" l="1"/>
  <c r="C73" i="2" s="1"/>
  <c r="H73" i="2" s="1"/>
  <c r="L72" i="2"/>
  <c r="M72" i="2" l="1"/>
  <c r="G71" i="1" s="1"/>
  <c r="L71" i="1" s="1"/>
  <c r="B73" i="2"/>
  <c r="D73" i="2" s="1"/>
  <c r="E73" i="2" s="1"/>
  <c r="F73" i="2" l="1"/>
  <c r="G73" i="2" s="1"/>
  <c r="I73" i="2" l="1"/>
  <c r="J73" i="2" s="1"/>
  <c r="K73" i="2" s="1"/>
  <c r="L73" i="2" l="1"/>
  <c r="C74" i="2"/>
  <c r="H74" i="2" s="1"/>
  <c r="B74" i="2" l="1"/>
  <c r="M73" i="2"/>
  <c r="G72" i="1" s="1"/>
  <c r="L72" i="1" s="1"/>
  <c r="F74" i="2" l="1"/>
  <c r="G74" i="2" s="1"/>
  <c r="D74" i="2"/>
  <c r="E74" i="2" s="1"/>
  <c r="I74" i="2" l="1"/>
  <c r="J74" i="2" s="1"/>
  <c r="L74" i="2" s="1"/>
  <c r="B75" i="2" l="1"/>
  <c r="K74" i="2"/>
  <c r="C75" i="2" s="1"/>
  <c r="H75" i="2" s="1"/>
  <c r="F75" i="2" l="1"/>
  <c r="G75" i="2" s="1"/>
  <c r="D75" i="2"/>
  <c r="E75" i="2" s="1"/>
  <c r="M74" i="2"/>
  <c r="G73" i="1" s="1"/>
  <c r="L73" i="1" s="1"/>
  <c r="I75" i="2" l="1"/>
  <c r="J75" i="2" s="1"/>
  <c r="L75" i="2" s="1"/>
  <c r="K75" i="2" l="1"/>
  <c r="C76" i="2" s="1"/>
  <c r="H76" i="2" s="1"/>
  <c r="B76" i="2"/>
  <c r="M75" i="2" l="1"/>
  <c r="G74" i="1" s="1"/>
  <c r="L74" i="1" s="1"/>
  <c r="D76" i="2"/>
  <c r="E76" i="2" s="1"/>
  <c r="F76" i="2"/>
  <c r="G76" i="2" s="1"/>
  <c r="I76" i="2" l="1"/>
  <c r="J76" i="2" s="1"/>
  <c r="K76" i="2" s="1"/>
  <c r="C77" i="2" s="1"/>
  <c r="H77" i="2" s="1"/>
  <c r="L76" i="2" l="1"/>
  <c r="M76" i="2" s="1"/>
  <c r="G75" i="1" s="1"/>
  <c r="L75" i="1" s="1"/>
  <c r="B77" i="2" l="1"/>
  <c r="F77" i="2" s="1"/>
  <c r="G77" i="2" s="1"/>
  <c r="D77" i="2"/>
  <c r="E77" i="2" s="1"/>
  <c r="I77" i="2" l="1"/>
  <c r="J77" i="2" s="1"/>
  <c r="L77" i="2" s="1"/>
  <c r="B78" i="2" s="1"/>
  <c r="F78" i="2" s="1"/>
  <c r="G78" i="2" s="1"/>
  <c r="D78" i="2" l="1"/>
  <c r="E78" i="2" s="1"/>
  <c r="K77" i="2"/>
  <c r="C78" i="2" s="1"/>
  <c r="M77" i="2" s="1"/>
  <c r="G76" i="1" s="1"/>
  <c r="L76" i="1" s="1"/>
  <c r="H78" i="2" l="1"/>
  <c r="I78" i="2" s="1"/>
  <c r="J78" i="2" s="1"/>
  <c r="L78" i="2" s="1"/>
  <c r="B79" i="2" s="1"/>
  <c r="K78" i="2" l="1"/>
  <c r="C79" i="2" s="1"/>
  <c r="M78" i="2" s="1"/>
  <c r="G77" i="1" s="1"/>
  <c r="L77" i="1" s="1"/>
  <c r="D79" i="2"/>
  <c r="E79" i="2" s="1"/>
  <c r="F79" i="2"/>
  <c r="G79" i="2" s="1"/>
  <c r="H79" i="2" l="1"/>
  <c r="I79" i="2" s="1"/>
  <c r="J79" i="2" s="1"/>
  <c r="K79" i="2" l="1"/>
  <c r="C80" i="2" s="1"/>
  <c r="H80" i="2" s="1"/>
  <c r="L79" i="2"/>
  <c r="M79" i="2" l="1"/>
  <c r="G78" i="1" s="1"/>
  <c r="L78" i="1" s="1"/>
  <c r="B80" i="2"/>
  <c r="D80" i="2" s="1"/>
  <c r="E80" i="2" s="1"/>
  <c r="F80" i="2" l="1"/>
  <c r="G80" i="2" s="1"/>
  <c r="I80" i="2" l="1"/>
  <c r="J80" i="2" s="1"/>
  <c r="K80" i="2" s="1"/>
  <c r="L80" i="2" l="1"/>
  <c r="B81" i="2" s="1"/>
  <c r="F81" i="2" s="1"/>
  <c r="G81" i="2" s="1"/>
  <c r="C81" i="2"/>
  <c r="H81" i="2" s="1"/>
  <c r="M80" i="2" l="1"/>
  <c r="G79" i="1" s="1"/>
  <c r="L79" i="1" s="1"/>
  <c r="D81" i="2"/>
  <c r="E81" i="2" s="1"/>
  <c r="I81" i="2"/>
  <c r="J81" i="2" s="1"/>
  <c r="K81" i="2" l="1"/>
  <c r="C82" i="2" s="1"/>
  <c r="H82" i="2" s="1"/>
  <c r="L81" i="2"/>
  <c r="M81" i="2" s="1"/>
  <c r="G80" i="1" s="1"/>
  <c r="L80" i="1" s="1"/>
  <c r="B82" i="2" l="1"/>
  <c r="F82" i="2" s="1"/>
  <c r="G82" i="2" s="1"/>
  <c r="I82" i="2" s="1"/>
  <c r="D82" i="2" l="1"/>
  <c r="E82" i="2" s="1"/>
  <c r="J82" i="2"/>
  <c r="L82" i="2" l="1"/>
  <c r="B83" i="2" s="1"/>
  <c r="K82" i="2"/>
  <c r="C83" i="2" s="1"/>
  <c r="H83" i="2" s="1"/>
  <c r="D83" i="2" l="1"/>
  <c r="E83" i="2" s="1"/>
  <c r="F83" i="2"/>
  <c r="G83" i="2" s="1"/>
  <c r="M82" i="2"/>
  <c r="G81" i="1" s="1"/>
  <c r="L81" i="1" s="1"/>
  <c r="I83" i="2" l="1"/>
  <c r="J83" i="2" s="1"/>
  <c r="L83" i="2" s="1"/>
  <c r="K83" i="2" l="1"/>
  <c r="C84" i="2" s="1"/>
  <c r="B84" i="2"/>
  <c r="F84" i="2" l="1"/>
  <c r="G84" i="2" s="1"/>
  <c r="D84" i="2"/>
  <c r="E84" i="2" s="1"/>
  <c r="M83" i="2"/>
  <c r="G82" i="1" s="1"/>
  <c r="L82" i="1" s="1"/>
  <c r="H84" i="2"/>
  <c r="I84" i="2" l="1"/>
  <c r="J84" i="2" s="1"/>
  <c r="K84" i="2" l="1"/>
  <c r="C85" i="2" s="1"/>
  <c r="H85" i="2" s="1"/>
  <c r="L84" i="2"/>
  <c r="M84" i="2" l="1"/>
  <c r="G83" i="1" s="1"/>
  <c r="L83" i="1" s="1"/>
  <c r="B85" i="2"/>
  <c r="D85" i="2" s="1"/>
  <c r="E85" i="2" s="1"/>
  <c r="F85" i="2" l="1"/>
  <c r="G85" i="2" s="1"/>
  <c r="I85" i="2" s="1"/>
  <c r="J85" i="2" s="1"/>
  <c r="K85" i="2" s="1"/>
  <c r="C86" i="2" s="1"/>
  <c r="H86" i="2" s="1"/>
  <c r="L85" i="2" l="1"/>
  <c r="M85" i="2" l="1"/>
  <c r="G84" i="1" s="1"/>
  <c r="L84" i="1" s="1"/>
  <c r="B86" i="2"/>
  <c r="F86" i="2" l="1"/>
  <c r="G86" i="2" s="1"/>
  <c r="D86" i="2"/>
  <c r="E86" i="2" l="1"/>
  <c r="I86" i="2"/>
  <c r="J86" i="2" s="1"/>
  <c r="K86" i="2" l="1"/>
  <c r="C87" i="2" s="1"/>
  <c r="H87" i="2" s="1"/>
  <c r="L86" i="2"/>
  <c r="M86" i="2" l="1"/>
  <c r="G85" i="1" s="1"/>
  <c r="L85" i="1" s="1"/>
  <c r="B87" i="2"/>
  <c r="F87" i="2" s="1"/>
  <c r="G87" i="2" s="1"/>
  <c r="D87" i="2" l="1"/>
  <c r="E87" i="2" s="1"/>
  <c r="I87" i="2"/>
  <c r="J87" i="2" s="1"/>
  <c r="L87" i="2" l="1"/>
  <c r="B88" i="2" s="1"/>
  <c r="F88" i="2" s="1"/>
  <c r="G88" i="2" s="1"/>
  <c r="K87" i="2"/>
  <c r="C88" i="2" s="1"/>
  <c r="H88" i="2" s="1"/>
  <c r="I88" i="2" l="1"/>
  <c r="J88" i="2" s="1"/>
  <c r="D88" i="2"/>
  <c r="E88" i="2" s="1"/>
  <c r="M87" i="2"/>
  <c r="G86" i="1" s="1"/>
  <c r="L86" i="1" s="1"/>
  <c r="L88" i="2" l="1"/>
  <c r="B89" i="2" s="1"/>
  <c r="F89" i="2" s="1"/>
  <c r="G89" i="2" s="1"/>
  <c r="K88" i="2"/>
  <c r="C89" i="2" s="1"/>
  <c r="H89" i="2" s="1"/>
  <c r="D89" i="2" l="1"/>
  <c r="E89" i="2" s="1"/>
  <c r="M88" i="2"/>
  <c r="G87" i="1" s="1"/>
  <c r="L87" i="1" s="1"/>
  <c r="I89" i="2"/>
  <c r="J89" i="2" s="1"/>
  <c r="K89" i="2" l="1"/>
  <c r="C90" i="2" s="1"/>
  <c r="H90" i="2" s="1"/>
  <c r="L89" i="2"/>
  <c r="M89" i="2" l="1"/>
  <c r="G88" i="1" s="1"/>
  <c r="L88" i="1" s="1"/>
  <c r="B90" i="2"/>
  <c r="D90" i="2" s="1"/>
  <c r="E90" i="2" s="1"/>
  <c r="F90" i="2" l="1"/>
  <c r="G90" i="2" s="1"/>
  <c r="I90" i="2" l="1"/>
  <c r="J90" i="2" s="1"/>
  <c r="L90" i="2" s="1"/>
  <c r="B91" i="2" s="1"/>
  <c r="F91" i="2" s="1"/>
  <c r="G91" i="2" s="1"/>
  <c r="D91" i="2" l="1"/>
  <c r="E91" i="2" s="1"/>
  <c r="K90" i="2"/>
  <c r="C91" i="2" s="1"/>
  <c r="H91" i="2" s="1"/>
  <c r="I91" i="2" s="1"/>
  <c r="J91" i="2" s="1"/>
  <c r="M90" i="2" l="1"/>
  <c r="G89" i="1" s="1"/>
  <c r="L89" i="1" s="1"/>
  <c r="L91" i="2"/>
  <c r="B92" i="2" s="1"/>
  <c r="K91" i="2"/>
  <c r="C92" i="2" s="1"/>
  <c r="M91" i="2" l="1"/>
  <c r="G90" i="1" s="1"/>
  <c r="L90" i="1" s="1"/>
  <c r="H92" i="2"/>
  <c r="D92" i="2"/>
  <c r="E92" i="2" s="1"/>
  <c r="F92" i="2"/>
  <c r="G92" i="2" s="1"/>
  <c r="I92" i="2" l="1"/>
  <c r="J92" i="2" s="1"/>
  <c r="K92" i="2" s="1"/>
  <c r="C93" i="2" l="1"/>
  <c r="H93" i="2" s="1"/>
  <c r="L92" i="2"/>
  <c r="M92" i="2" l="1"/>
  <c r="G91" i="1" s="1"/>
  <c r="L91" i="1" s="1"/>
  <c r="B93" i="2"/>
  <c r="F93" i="2" s="1"/>
  <c r="G93" i="2" s="1"/>
  <c r="D93" i="2" l="1"/>
  <c r="E93" i="2" s="1"/>
  <c r="I93" i="2"/>
  <c r="J93" i="2" l="1"/>
  <c r="K93" i="2" s="1"/>
  <c r="C94" i="2" l="1"/>
  <c r="H94" i="2" s="1"/>
  <c r="L93" i="2"/>
  <c r="B94" i="2" s="1"/>
  <c r="F94" i="2" l="1"/>
  <c r="G94" i="2" s="1"/>
  <c r="I94" i="2" s="1"/>
  <c r="J94" i="2" s="1"/>
  <c r="M93" i="2"/>
  <c r="G92" i="1" s="1"/>
  <c r="L92" i="1" s="1"/>
  <c r="D94" i="2"/>
  <c r="E94" i="2" s="1"/>
  <c r="K94" i="2" l="1"/>
  <c r="C95" i="2" s="1"/>
  <c r="L94" i="2"/>
  <c r="B95" i="2" l="1"/>
  <c r="M94" i="2"/>
  <c r="G93" i="1" s="1"/>
  <c r="L93" i="1" s="1"/>
  <c r="H95" i="2"/>
  <c r="F95" i="2" l="1"/>
  <c r="G95" i="2" s="1"/>
  <c r="D95" i="2"/>
  <c r="E95" i="2" s="1"/>
  <c r="I95" i="2" l="1"/>
  <c r="J95" i="2" s="1"/>
  <c r="L95" i="2" s="1"/>
  <c r="K95" i="2" l="1"/>
  <c r="C96" i="2" s="1"/>
  <c r="H96" i="2" s="1"/>
  <c r="B96" i="2"/>
  <c r="M95" i="2" l="1"/>
  <c r="G94" i="1" s="1"/>
  <c r="L94" i="1" s="1"/>
  <c r="F96" i="2"/>
  <c r="G96" i="2" s="1"/>
  <c r="D96" i="2"/>
  <c r="E96" i="2" s="1"/>
  <c r="I96" i="2" l="1"/>
  <c r="J96" i="2" s="1"/>
  <c r="L96" i="2" s="1"/>
  <c r="K96" i="2" l="1"/>
  <c r="C97" i="2" s="1"/>
  <c r="H97" i="2" s="1"/>
  <c r="B97" i="2"/>
  <c r="F97" i="2" s="1"/>
  <c r="G97" i="2" s="1"/>
  <c r="D97" i="2" l="1"/>
  <c r="E97" i="2" s="1"/>
  <c r="M96" i="2"/>
  <c r="G95" i="1" s="1"/>
  <c r="L95" i="1" s="1"/>
  <c r="I97" i="2"/>
  <c r="J97" i="2" l="1"/>
  <c r="L97" i="2" l="1"/>
  <c r="B98" i="2" s="1"/>
  <c r="F98" i="2" s="1"/>
  <c r="G98" i="2" s="1"/>
  <c r="K97" i="2"/>
  <c r="C98" i="2" s="1"/>
  <c r="H98" i="2" s="1"/>
  <c r="D98" i="2" l="1"/>
  <c r="E98" i="2" s="1"/>
  <c r="M97" i="2"/>
  <c r="G96" i="1" s="1"/>
  <c r="L96" i="1" s="1"/>
  <c r="I98" i="2"/>
  <c r="J98" i="2" l="1"/>
  <c r="L98" i="2" l="1"/>
  <c r="K98" i="2"/>
  <c r="C99" i="2" s="1"/>
  <c r="M98" i="2" s="1"/>
  <c r="G97" i="1" s="1"/>
  <c r="L97" i="1" s="1"/>
  <c r="B99" i="2"/>
  <c r="F99" i="2" s="1"/>
  <c r="G99" i="2" s="1"/>
  <c r="D99" i="2" l="1"/>
  <c r="E99" i="2" s="1"/>
  <c r="H99" i="2"/>
  <c r="I99" i="2" s="1"/>
  <c r="J99" i="2" l="1"/>
  <c r="L99" i="2" l="1"/>
  <c r="B100" i="2" s="1"/>
  <c r="D100" i="2" s="1"/>
  <c r="E100" i="2" s="1"/>
  <c r="K99" i="2"/>
  <c r="C100" i="2" s="1"/>
  <c r="F100" i="2" l="1"/>
  <c r="G100" i="2" s="1"/>
  <c r="M99" i="2"/>
  <c r="G98" i="1" s="1"/>
  <c r="L98" i="1" s="1"/>
  <c r="H100" i="2"/>
  <c r="I100" i="2" l="1"/>
  <c r="J100" i="2"/>
  <c r="K100" i="2" s="1"/>
  <c r="C101" i="2" l="1"/>
  <c r="H101" i="2" s="1"/>
  <c r="L100" i="2"/>
  <c r="M100" i="2" l="1"/>
  <c r="G99" i="1" s="1"/>
  <c r="L99" i="1" s="1"/>
  <c r="B101" i="2"/>
  <c r="F101" i="2" s="1"/>
  <c r="G101" i="2" s="1"/>
  <c r="D101" i="2" l="1"/>
  <c r="E101" i="2" s="1"/>
  <c r="I101" i="2"/>
  <c r="J101" i="2" l="1"/>
  <c r="L101" i="2" l="1"/>
  <c r="B102" i="2" s="1"/>
  <c r="D102" i="2" s="1"/>
  <c r="E102" i="2" s="1"/>
  <c r="K101" i="2"/>
  <c r="C102" i="2" s="1"/>
  <c r="H102" i="2" s="1"/>
  <c r="M101" i="2" l="1"/>
  <c r="G100" i="1" s="1"/>
  <c r="L100" i="1" s="1"/>
  <c r="F102" i="2"/>
  <c r="G102" i="2" s="1"/>
  <c r="I102" i="2" l="1"/>
  <c r="J102" i="2" s="1"/>
  <c r="L102" i="2" s="1"/>
  <c r="K102" i="2" l="1"/>
  <c r="C103" i="2" s="1"/>
  <c r="H103" i="2" s="1"/>
  <c r="B103" i="2"/>
  <c r="D103" i="2" s="1"/>
  <c r="E103" i="2" s="1"/>
  <c r="M102" i="2" l="1"/>
  <c r="G101" i="1" s="1"/>
  <c r="L101" i="1" s="1"/>
  <c r="F103" i="2"/>
  <c r="G103" i="2" s="1"/>
  <c r="I103" i="2" l="1"/>
  <c r="J103" i="2"/>
  <c r="K103" i="2" s="1"/>
  <c r="L10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E. Hultstrom</author>
  </authors>
  <commentList>
    <comment ref="B13" authorId="0" shapeId="0" xr:uid="{00000000-0006-0000-0000-000001000000}">
      <text>
        <r>
          <rPr>
            <sz val="8"/>
            <color indexed="81"/>
            <rFont val="Tahoma"/>
            <family val="2"/>
          </rPr>
          <t>This will be subtracted from Total Return for the annuity option.</t>
        </r>
      </text>
    </comment>
    <comment ref="B15" authorId="0" shapeId="0" xr:uid="{00000000-0006-0000-0000-000002000000}">
      <text>
        <r>
          <rPr>
            <sz val="8"/>
            <color indexed="81"/>
            <rFont val="Tahoma"/>
            <family val="2"/>
          </rPr>
          <t>This is after-tax, the non-deductible options have grossed up this figure to make the comparisons equivalent.</t>
        </r>
      </text>
    </comment>
    <comment ref="B21" authorId="0" shapeId="0" xr:uid="{00000000-0006-0000-0000-000004000000}">
      <text>
        <r>
          <rPr>
            <sz val="8"/>
            <color indexed="81"/>
            <rFont val="Tahoma"/>
            <family val="2"/>
          </rPr>
          <t>This allows comparison of a taxable investment with one that is tax-advantaged but will incur a penalty for early withdrawal.</t>
        </r>
      </text>
    </comment>
  </commentList>
</comments>
</file>

<file path=xl/sharedStrings.xml><?xml version="1.0" encoding="utf-8"?>
<sst xmlns="http://schemas.openxmlformats.org/spreadsheetml/2006/main" count="70" uniqueCount="37">
  <si>
    <t>Taxable</t>
  </si>
  <si>
    <t>Initial Investment</t>
  </si>
  <si>
    <t>Total Return</t>
  </si>
  <si>
    <t>Sales</t>
  </si>
  <si>
    <t>Tax</t>
  </si>
  <si>
    <t>Cap Gain</t>
  </si>
  <si>
    <t>Liquidation</t>
  </si>
  <si>
    <t>Value</t>
  </si>
  <si>
    <t>Period</t>
  </si>
  <si>
    <t>Beginning</t>
  </si>
  <si>
    <t>Cost</t>
  </si>
  <si>
    <t>Basis</t>
  </si>
  <si>
    <t>Cost Basis</t>
  </si>
  <si>
    <t>of Sales</t>
  </si>
  <si>
    <t>Capital</t>
  </si>
  <si>
    <t>Gain</t>
  </si>
  <si>
    <t>Purchases</t>
  </si>
  <si>
    <t>Ending</t>
  </si>
  <si>
    <t>Early WD Penalty</t>
  </si>
  <si>
    <t>Deductible</t>
  </si>
  <si>
    <t>Roth</t>
  </si>
  <si>
    <t>Annuity</t>
  </si>
  <si>
    <t>Comparison of Various Tax Treatments</t>
  </si>
  <si>
    <t>Last Updated:</t>
  </si>
  <si>
    <t>Marginal Annuity Cost</t>
  </si>
  <si>
    <t>State Tax Rate</t>
  </si>
  <si>
    <t>Input variables in YELLOW.</t>
  </si>
  <si>
    <t>Growth</t>
  </si>
  <si>
    <t>Yield</t>
  </si>
  <si>
    <t>Growth Rate</t>
  </si>
  <si>
    <t>Portfolio Turnover</t>
  </si>
  <si>
    <t>Federal OI Rate</t>
  </si>
  <si>
    <t>Federal LTCG Rate</t>
  </si>
  <si>
    <t>OI Rate</t>
  </si>
  <si>
    <t>LTCG Rate</t>
  </si>
  <si>
    <t>Tax on Growth</t>
  </si>
  <si>
    <t>Tax on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</si>
</sst>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1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7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4" fontId="2" fillId="0" borderId="0" xfId="0" applyNumberFormat="1" applyFont="1" applyAlignment="1">
      <alignment horizontal="center"/>
    </xf>
    <xf numFmtId="10" fontId="6" fillId="0" borderId="3" xfId="1" applyNumberFormat="1" applyFont="1" applyBorder="1" applyAlignment="1">
      <alignment horizontal="center"/>
    </xf>
    <xf numFmtId="10" fontId="6" fillId="0" borderId="4" xfId="1" applyNumberFormat="1" applyFont="1" applyBorder="1" applyAlignment="1">
      <alignment horizontal="center"/>
    </xf>
    <xf numFmtId="10" fontId="6" fillId="0" borderId="5" xfId="1" applyNumberFormat="1" applyFont="1" applyBorder="1" applyAlignment="1">
      <alignment horizontal="center"/>
    </xf>
    <xf numFmtId="10" fontId="6" fillId="0" borderId="6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right"/>
    </xf>
    <xf numFmtId="10" fontId="2" fillId="2" borderId="7" xfId="2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5" fontId="2" fillId="2" borderId="7" xfId="0" applyNumberFormat="1" applyFont="1" applyFill="1" applyBorder="1" applyAlignment="1">
      <alignment horizontal="center"/>
    </xf>
    <xf numFmtId="9" fontId="2" fillId="2" borderId="7" xfId="0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5" fontId="0" fillId="0" borderId="5" xfId="0" applyNumberFormat="1" applyBorder="1" applyAlignment="1">
      <alignment horizontal="center"/>
    </xf>
    <xf numFmtId="5" fontId="0" fillId="0" borderId="6" xfId="0" applyNumberFormat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0" fontId="6" fillId="0" borderId="0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6" fillId="0" borderId="9" xfId="1" applyNumberFormat="1" applyFont="1" applyBorder="1" applyAlignment="1">
      <alignment horizontal="center"/>
    </xf>
    <xf numFmtId="7" fontId="0" fillId="0" borderId="0" xfId="0" applyNumberFormat="1"/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zoomScaleNormal="100" workbookViewId="0">
      <selection activeCell="B17" sqref="B17"/>
    </sheetView>
  </sheetViews>
  <sheetFormatPr defaultColWidth="6.42578125" defaultRowHeight="12.75" x14ac:dyDescent="0.2"/>
  <cols>
    <col min="1" max="1" width="26.28515625" style="1" bestFit="1" customWidth="1"/>
    <col min="2" max="2" width="10.7109375" style="1" bestFit="1" customWidth="1"/>
    <col min="3" max="3" width="4.7109375" style="1" customWidth="1"/>
    <col min="4" max="4" width="7" style="1" bestFit="1" customWidth="1"/>
    <col min="5" max="7" width="11.7109375" style="1" bestFit="1" customWidth="1"/>
    <col min="8" max="8" width="10.7109375" style="1" customWidth="1"/>
    <col min="9" max="9" width="4.7109375" style="1" customWidth="1"/>
    <col min="10" max="10" width="10.7109375" style="1" customWidth="1"/>
    <col min="11" max="11" width="7.28515625" style="1" bestFit="1" customWidth="1"/>
    <col min="12" max="12" width="8.42578125" style="1" bestFit="1" customWidth="1"/>
    <col min="13" max="13" width="7.85546875" style="1" bestFit="1" customWidth="1"/>
    <col min="14" max="16384" width="6.42578125" style="1"/>
  </cols>
  <sheetData>
    <row r="1" spans="1:13" ht="12.75" customHeight="1" x14ac:dyDescent="0.2">
      <c r="A1" s="35" t="s">
        <v>22</v>
      </c>
      <c r="B1" s="36"/>
      <c r="C1" s="7"/>
      <c r="D1" s="5" t="s">
        <v>8</v>
      </c>
      <c r="E1" s="5" t="s">
        <v>19</v>
      </c>
      <c r="F1" s="6" t="s">
        <v>20</v>
      </c>
      <c r="G1" s="5" t="s">
        <v>0</v>
      </c>
      <c r="H1" s="6" t="s">
        <v>21</v>
      </c>
      <c r="J1" s="5" t="s">
        <v>19</v>
      </c>
      <c r="K1" s="30" t="s">
        <v>20</v>
      </c>
      <c r="L1" s="30" t="s">
        <v>0</v>
      </c>
      <c r="M1" s="6" t="s">
        <v>21</v>
      </c>
    </row>
    <row r="2" spans="1:13" ht="12.75" customHeight="1" x14ac:dyDescent="0.2">
      <c r="A2" s="37"/>
      <c r="B2" s="38"/>
      <c r="C2" s="7"/>
      <c r="D2" s="27">
        <v>1</v>
      </c>
      <c r="E2" s="21">
        <f>ROUND(Deductible!D3*100,0)/100</f>
        <v>896.92</v>
      </c>
      <c r="F2" s="22">
        <f>ROUND(Roth!D3*100,0)/100</f>
        <v>1033</v>
      </c>
      <c r="G2" s="21">
        <f>ROUND(Taxable!M3*100,0)/100</f>
        <v>1039</v>
      </c>
      <c r="H2" s="22">
        <f>ROUND(Annuity!D3*100,0)/100</f>
        <v>1031.6300000000001</v>
      </c>
      <c r="J2" s="9">
        <f t="shared" ref="J2:J41" si="0">RATE($D2,0,-InitInv,E2)</f>
        <v>-0.10308</v>
      </c>
      <c r="K2" s="29">
        <f t="shared" ref="K2:K41" si="1">RATE($D2,0,-InitInv,F2)</f>
        <v>3.2999999999999946E-2</v>
      </c>
      <c r="L2" s="29">
        <f t="shared" ref="L2:L41" si="2">RATE($D2,0,-InitInv,G2)</f>
        <v>3.8999999999999951E-2</v>
      </c>
      <c r="M2" s="10">
        <f t="shared" ref="M2:M41" si="3">RATE($D2,0,-InitInv,H2)</f>
        <v>3.1630000000000061E-2</v>
      </c>
    </row>
    <row r="3" spans="1:13" ht="12.75" customHeight="1" x14ac:dyDescent="0.2">
      <c r="A3" s="37"/>
      <c r="B3" s="38"/>
      <c r="C3" s="7"/>
      <c r="D3" s="27">
        <v>2</v>
      </c>
      <c r="E3" s="21">
        <f>ROUND(Deductible!D4*100,0)/100</f>
        <v>950.74</v>
      </c>
      <c r="F3" s="22">
        <f>ROUND(Roth!D4*100,0)/100</f>
        <v>1094.98</v>
      </c>
      <c r="G3" s="21">
        <f>ROUND(Taxable!M4*100,0)/100</f>
        <v>1079.52</v>
      </c>
      <c r="H3" s="22">
        <f>ROUND(Annuity!D4*100,0)/100</f>
        <v>1065.07</v>
      </c>
      <c r="J3" s="9">
        <f t="shared" si="0"/>
        <v>-2.4941027424494378E-2</v>
      </c>
      <c r="K3" s="29">
        <f t="shared" si="1"/>
        <v>4.6412920409874978E-2</v>
      </c>
      <c r="L3" s="29">
        <f t="shared" si="2"/>
        <v>3.8999518768918537E-2</v>
      </c>
      <c r="M3" s="10">
        <f t="shared" si="3"/>
        <v>3.2022286583426297E-2</v>
      </c>
    </row>
    <row r="4" spans="1:13" ht="12.75" customHeight="1" x14ac:dyDescent="0.2">
      <c r="A4" s="37"/>
      <c r="B4" s="38"/>
      <c r="C4" s="7"/>
      <c r="D4" s="27">
        <v>3</v>
      </c>
      <c r="E4" s="21">
        <f>ROUND(Deductible!D5*100,0)/100</f>
        <v>1007.78</v>
      </c>
      <c r="F4" s="22">
        <f>ROUND(Roth!D5*100,0)/100</f>
        <v>1160.68</v>
      </c>
      <c r="G4" s="21">
        <f>ROUND(Taxable!M5*100,0)/100</f>
        <v>1121.6199999999999</v>
      </c>
      <c r="H4" s="22">
        <f>ROUND(Annuity!D5*100,0)/100</f>
        <v>1100.43</v>
      </c>
      <c r="J4" s="9">
        <f t="shared" si="0"/>
        <v>2.5866368742512133E-3</v>
      </c>
      <c r="K4" s="29">
        <f t="shared" si="1"/>
        <v>5.0922847022580604E-2</v>
      </c>
      <c r="L4" s="29">
        <f t="shared" si="2"/>
        <v>3.8999283941180761E-2</v>
      </c>
      <c r="M4" s="10">
        <f t="shared" si="3"/>
        <v>3.2414607160378431E-2</v>
      </c>
    </row>
    <row r="5" spans="1:13" ht="12.75" customHeight="1" x14ac:dyDescent="0.2">
      <c r="A5" s="37"/>
      <c r="B5" s="38"/>
      <c r="C5" s="7"/>
      <c r="D5" s="27">
        <v>4</v>
      </c>
      <c r="E5" s="21">
        <f>ROUND(Deductible!D6*100,0)/100</f>
        <v>1068.25</v>
      </c>
      <c r="F5" s="22">
        <f>ROUND(Roth!D6*100,0)/100</f>
        <v>1230.32</v>
      </c>
      <c r="G5" s="21">
        <f>ROUND(Taxable!M6*100,0)/100</f>
        <v>1165.3699999999999</v>
      </c>
      <c r="H5" s="22">
        <f>ROUND(Annuity!D6*100,0)/100</f>
        <v>1137.83</v>
      </c>
      <c r="J5" s="9">
        <f t="shared" si="0"/>
        <v>1.6642416339532236E-2</v>
      </c>
      <c r="K5" s="29">
        <f t="shared" si="1"/>
        <v>5.3184650666957253E-2</v>
      </c>
      <c r="L5" s="29">
        <f t="shared" si="2"/>
        <v>3.900098307440502E-2</v>
      </c>
      <c r="M5" s="10">
        <f t="shared" si="3"/>
        <v>3.2807409710304047E-2</v>
      </c>
    </row>
    <row r="6" spans="1:13" ht="13.5" customHeight="1" thickBot="1" x14ac:dyDescent="0.25">
      <c r="A6" s="39"/>
      <c r="B6" s="40"/>
      <c r="C6" s="7"/>
      <c r="D6" s="27">
        <v>5</v>
      </c>
      <c r="E6" s="21">
        <f>ROUND(Deductible!D7*100,0)/100</f>
        <v>1132.3399999999999</v>
      </c>
      <c r="F6" s="22">
        <f>ROUND(Roth!D7*100,0)/100</f>
        <v>1304.1400000000001</v>
      </c>
      <c r="G6" s="21">
        <f>ROUND(Taxable!M7*100,0)/100</f>
        <v>1210.81</v>
      </c>
      <c r="H6" s="22">
        <f>ROUND(Annuity!D7*100,0)/100</f>
        <v>1177.3900000000001</v>
      </c>
      <c r="J6" s="9">
        <f t="shared" si="0"/>
        <v>2.5168775039812772E-2</v>
      </c>
      <c r="K6" s="29">
        <f t="shared" si="1"/>
        <v>5.4544335279986561E-2</v>
      </c>
      <c r="L6" s="29">
        <f t="shared" si="2"/>
        <v>3.8999168083264597E-2</v>
      </c>
      <c r="M6" s="10">
        <f t="shared" si="3"/>
        <v>3.319921747348132E-2</v>
      </c>
    </row>
    <row r="7" spans="1:13" x14ac:dyDescent="0.2">
      <c r="D7" s="27">
        <v>6</v>
      </c>
      <c r="E7" s="21">
        <f>ROUND(Deductible!D8*100,0)/100</f>
        <v>1200.29</v>
      </c>
      <c r="F7" s="22">
        <f>ROUND(Roth!D8*100,0)/100</f>
        <v>1382.39</v>
      </c>
      <c r="G7" s="21">
        <f>ROUND(Taxable!M8*100,0)/100</f>
        <v>1258.04</v>
      </c>
      <c r="H7" s="22">
        <f>ROUND(Annuity!D8*100,0)/100</f>
        <v>1219.21</v>
      </c>
      <c r="J7" s="9">
        <f t="shared" si="0"/>
        <v>3.0894837187160202E-2</v>
      </c>
      <c r="K7" s="29">
        <f t="shared" si="1"/>
        <v>5.5451862453258297E-2</v>
      </c>
      <c r="L7" s="29">
        <f t="shared" si="2"/>
        <v>3.9000464361876486E-2</v>
      </c>
      <c r="M7" s="10">
        <f t="shared" si="3"/>
        <v>3.3585526900128025E-2</v>
      </c>
    </row>
    <row r="8" spans="1:13" x14ac:dyDescent="0.2">
      <c r="A8" s="14" t="s">
        <v>29</v>
      </c>
      <c r="B8" s="15">
        <v>0</v>
      </c>
      <c r="D8" s="27">
        <v>7</v>
      </c>
      <c r="E8" s="21">
        <f>ROUND(Deductible!D9*100,0)/100</f>
        <v>1272.3</v>
      </c>
      <c r="F8" s="22">
        <f>ROUND(Roth!D9*100,0)/100</f>
        <v>1465.33</v>
      </c>
      <c r="G8" s="21">
        <f>ROUND(Taxable!M9*100,0)/100</f>
        <v>1307.0999999999999</v>
      </c>
      <c r="H8" s="22">
        <f>ROUND(Annuity!D9*100,0)/100</f>
        <v>1263.44</v>
      </c>
      <c r="J8" s="9">
        <f t="shared" si="0"/>
        <v>3.5002409947844683E-2</v>
      </c>
      <c r="K8" s="29">
        <f t="shared" si="1"/>
        <v>5.6100049589284023E-2</v>
      </c>
      <c r="L8" s="29">
        <f t="shared" si="2"/>
        <v>3.8999993764476708E-2</v>
      </c>
      <c r="M8" s="10">
        <f t="shared" si="3"/>
        <v>3.3969678686467657E-2</v>
      </c>
    </row>
    <row r="9" spans="1:13" x14ac:dyDescent="0.2">
      <c r="A9" s="14" t="s">
        <v>35</v>
      </c>
      <c r="B9" s="15" t="s">
        <v>33</v>
      </c>
      <c r="D9" s="27">
        <v>8</v>
      </c>
      <c r="E9" s="21">
        <f>ROUND(Deductible!D10*100,0)/100</f>
        <v>1348.64</v>
      </c>
      <c r="F9" s="22">
        <f>ROUND(Roth!D10*100,0)/100</f>
        <v>1553.25</v>
      </c>
      <c r="G9" s="21">
        <f>ROUND(Taxable!M10*100,0)/100</f>
        <v>1358.08</v>
      </c>
      <c r="H9" s="22">
        <f>ROUND(Annuity!D10*100,0)/100</f>
        <v>1310.21</v>
      </c>
      <c r="J9" s="9">
        <f t="shared" si="0"/>
        <v>3.8094773637787328E-2</v>
      </c>
      <c r="K9" s="29">
        <f t="shared" si="1"/>
        <v>5.6586774619314793E-2</v>
      </c>
      <c r="L9" s="29">
        <f t="shared" si="2"/>
        <v>3.90002910014269E-2</v>
      </c>
      <c r="M9" s="10">
        <f t="shared" si="3"/>
        <v>3.4350226115875175E-2</v>
      </c>
    </row>
    <row r="10" spans="1:13" x14ac:dyDescent="0.2">
      <c r="A10" s="14" t="s">
        <v>28</v>
      </c>
      <c r="B10" s="15">
        <v>0.06</v>
      </c>
      <c r="D10" s="27">
        <v>9</v>
      </c>
      <c r="E10" s="21">
        <f>ROUND(Deductible!D11*100,0)/100</f>
        <v>1429.56</v>
      </c>
      <c r="F10" s="22">
        <f>ROUND(Roth!D11*100,0)/100</f>
        <v>1646.45</v>
      </c>
      <c r="G10" s="21">
        <f>ROUND(Taxable!M11*100,0)/100</f>
        <v>1411.04</v>
      </c>
      <c r="H10" s="22">
        <f>ROUND(Annuity!D11*100,0)/100</f>
        <v>1359.67</v>
      </c>
      <c r="J10" s="9">
        <f t="shared" si="0"/>
        <v>4.0506289604874068E-2</v>
      </c>
      <c r="K10" s="29">
        <f t="shared" si="1"/>
        <v>5.6965835133428351E-2</v>
      </c>
      <c r="L10" s="29">
        <f t="shared" si="2"/>
        <v>3.8999839775122891E-2</v>
      </c>
      <c r="M10" s="10">
        <f t="shared" si="3"/>
        <v>3.4727391928160066E-2</v>
      </c>
    </row>
    <row r="11" spans="1:13" x14ac:dyDescent="0.2">
      <c r="A11" s="14" t="s">
        <v>36</v>
      </c>
      <c r="B11" s="15" t="s">
        <v>33</v>
      </c>
      <c r="D11" s="27">
        <v>10</v>
      </c>
      <c r="E11" s="21">
        <f>ROUND(Deductible!D12*100,0)/100</f>
        <v>1515.33</v>
      </c>
      <c r="F11" s="22">
        <f>ROUND(Roth!D12*100,0)/100</f>
        <v>1745.23</v>
      </c>
      <c r="G11" s="21">
        <f>ROUND(Taxable!M12*100,0)/100</f>
        <v>1466.07</v>
      </c>
      <c r="H11" s="22">
        <f>ROUND(Annuity!D12*100,0)/100</f>
        <v>1411.98</v>
      </c>
      <c r="J11" s="9">
        <f t="shared" si="0"/>
        <v>4.2439170869294163E-2</v>
      </c>
      <c r="K11" s="29">
        <f t="shared" si="1"/>
        <v>5.726843631939324E-2</v>
      </c>
      <c r="L11" s="29">
        <f t="shared" si="2"/>
        <v>3.8999816110585728E-2</v>
      </c>
      <c r="M11" s="10">
        <f t="shared" si="3"/>
        <v>3.5101301182560378E-2</v>
      </c>
    </row>
    <row r="12" spans="1:13" x14ac:dyDescent="0.2">
      <c r="A12" s="14" t="s">
        <v>2</v>
      </c>
      <c r="B12" s="19">
        <f>GrowthRate+YieldRate</f>
        <v>0.06</v>
      </c>
      <c r="D12" s="27">
        <v>11</v>
      </c>
      <c r="E12" s="21">
        <f>ROUND(Deductible!D13*100,0)/100</f>
        <v>1606.25</v>
      </c>
      <c r="F12" s="22">
        <f>ROUND(Roth!D13*100,0)/100</f>
        <v>1849.95</v>
      </c>
      <c r="G12" s="21">
        <f>ROUND(Taxable!M13*100,0)/100</f>
        <v>1523.25</v>
      </c>
      <c r="H12" s="22">
        <f>ROUND(Annuity!D13*100,0)/100</f>
        <v>1467.29</v>
      </c>
      <c r="J12" s="9">
        <f t="shared" si="0"/>
        <v>4.4023526861723547E-2</v>
      </c>
      <c r="K12" s="29">
        <f t="shared" si="1"/>
        <v>5.7516791346796659E-2</v>
      </c>
      <c r="L12" s="29">
        <f t="shared" si="2"/>
        <v>3.9000035596121474E-2</v>
      </c>
      <c r="M12" s="10">
        <f t="shared" si="3"/>
        <v>3.5470699679164906E-2</v>
      </c>
    </row>
    <row r="13" spans="1:13" x14ac:dyDescent="0.2">
      <c r="A13" s="14" t="s">
        <v>24</v>
      </c>
      <c r="B13" s="15">
        <v>2.5000000000000001E-3</v>
      </c>
      <c r="D13" s="27">
        <v>12</v>
      </c>
      <c r="E13" s="21">
        <f>ROUND(Deductible!D14*100,0)/100</f>
        <v>1702.63</v>
      </c>
      <c r="F13" s="22">
        <f>ROUND(Roth!D14*100,0)/100</f>
        <v>1960.94</v>
      </c>
      <c r="G13" s="21">
        <f>ROUND(Taxable!M14*100,0)/100</f>
        <v>1582.66</v>
      </c>
      <c r="H13" s="22">
        <f>ROUND(Annuity!D14*100,0)/100</f>
        <v>1525.79</v>
      </c>
      <c r="J13" s="9">
        <f t="shared" si="0"/>
        <v>4.5345907774444263E-2</v>
      </c>
      <c r="K13" s="29">
        <f t="shared" si="1"/>
        <v>5.7723188377807808E-2</v>
      </c>
      <c r="L13" s="29">
        <f t="shared" si="2"/>
        <v>3.9000210429828888E-2</v>
      </c>
      <c r="M13" s="10">
        <f t="shared" si="3"/>
        <v>3.5836547867367854E-2</v>
      </c>
    </row>
    <row r="14" spans="1:13" x14ac:dyDescent="0.2">
      <c r="A14" s="14" t="s">
        <v>30</v>
      </c>
      <c r="B14" s="16">
        <v>0.1</v>
      </c>
      <c r="D14" s="27">
        <v>13</v>
      </c>
      <c r="E14" s="21">
        <f>ROUND(Deductible!D15*100,0)/100</f>
        <v>1804.79</v>
      </c>
      <c r="F14" s="22">
        <f>ROUND(Roth!D15*100,0)/100</f>
        <v>2078.6</v>
      </c>
      <c r="G14" s="21">
        <f>ROUND(Taxable!M15*100,0)/100</f>
        <v>1644.38</v>
      </c>
      <c r="H14" s="22">
        <f>ROUND(Annuity!D15*100,0)/100</f>
        <v>1587.65</v>
      </c>
      <c r="J14" s="9">
        <f t="shared" si="0"/>
        <v>4.646601536599166E-2</v>
      </c>
      <c r="K14" s="29">
        <f t="shared" si="1"/>
        <v>5.7898294913514295E-2</v>
      </c>
      <c r="L14" s="29">
        <f t="shared" si="2"/>
        <v>3.9000012467371961E-2</v>
      </c>
      <c r="M14" s="10">
        <f t="shared" si="3"/>
        <v>3.619782042165394E-2</v>
      </c>
    </row>
    <row r="15" spans="1:13" x14ac:dyDescent="0.2">
      <c r="A15" s="14" t="s">
        <v>1</v>
      </c>
      <c r="B15" s="17">
        <v>1000</v>
      </c>
      <c r="D15" s="27">
        <v>14</v>
      </c>
      <c r="E15" s="21">
        <f>ROUND(Deductible!D16*100,0)/100</f>
        <v>1913.07</v>
      </c>
      <c r="F15" s="22">
        <f>ROUND(Roth!D16*100,0)/100</f>
        <v>2203.31</v>
      </c>
      <c r="G15" s="21">
        <f>ROUND(Taxable!M16*100,0)/100</f>
        <v>1708.51</v>
      </c>
      <c r="H15" s="22">
        <f>ROUND(Annuity!D16*100,0)/100</f>
        <v>1653.06</v>
      </c>
      <c r="J15" s="9">
        <f t="shared" si="0"/>
        <v>4.7426682215481193E-2</v>
      </c>
      <c r="K15" s="29">
        <f t="shared" si="1"/>
        <v>5.8048072608254071E-2</v>
      </c>
      <c r="L15" s="29">
        <f t="shared" si="2"/>
        <v>3.8999975954892387E-2</v>
      </c>
      <c r="M15" s="10">
        <f t="shared" si="3"/>
        <v>3.6554267771150714E-2</v>
      </c>
    </row>
    <row r="16" spans="1:13" x14ac:dyDescent="0.2">
      <c r="A16" s="14" t="s">
        <v>31</v>
      </c>
      <c r="B16" s="18">
        <v>0.35</v>
      </c>
      <c r="D16" s="27">
        <v>15</v>
      </c>
      <c r="E16" s="21">
        <f>ROUND(Deductible!D17*100,0)/100</f>
        <v>2027.86</v>
      </c>
      <c r="F16" s="22">
        <f>ROUND(Roth!D17*100,0)/100</f>
        <v>2335.5100000000002</v>
      </c>
      <c r="G16" s="21">
        <f>ROUND(Taxable!M17*100,0)/100</f>
        <v>1775.14</v>
      </c>
      <c r="H16" s="22">
        <f>ROUND(Annuity!D17*100,0)/100</f>
        <v>1722.24</v>
      </c>
      <c r="J16" s="9">
        <f t="shared" si="0"/>
        <v>4.8260443683824081E-2</v>
      </c>
      <c r="K16" s="29">
        <f t="shared" si="1"/>
        <v>5.8178131490965498E-2</v>
      </c>
      <c r="L16" s="29">
        <f t="shared" si="2"/>
        <v>3.8999903809393506E-2</v>
      </c>
      <c r="M16" s="10">
        <f t="shared" si="3"/>
        <v>3.6906455094834069E-2</v>
      </c>
    </row>
    <row r="17" spans="1:13" x14ac:dyDescent="0.2">
      <c r="A17" s="14" t="s">
        <v>32</v>
      </c>
      <c r="B17" s="18">
        <v>0.15</v>
      </c>
      <c r="D17" s="27">
        <v>16</v>
      </c>
      <c r="E17" s="21">
        <f>ROUND(Deductible!D18*100,0)/100</f>
        <v>2149.5300000000002</v>
      </c>
      <c r="F17" s="22">
        <f>ROUND(Roth!D18*100,0)/100</f>
        <v>2475.64</v>
      </c>
      <c r="G17" s="21">
        <f>ROUND(Taxable!M18*100,0)/100</f>
        <v>1844.37</v>
      </c>
      <c r="H17" s="22">
        <f>ROUND(Annuity!D18*100,0)/100</f>
        <v>1795.39</v>
      </c>
      <c r="J17" s="9">
        <f t="shared" si="0"/>
        <v>4.89902930555133E-2</v>
      </c>
      <c r="K17" s="29">
        <f t="shared" si="1"/>
        <v>5.8291890448346449E-2</v>
      </c>
      <c r="L17" s="29">
        <f t="shared" si="2"/>
        <v>3.8999893625400288E-2</v>
      </c>
      <c r="M17" s="10">
        <f t="shared" si="3"/>
        <v>3.7253538638999349E-2</v>
      </c>
    </row>
    <row r="18" spans="1:13" x14ac:dyDescent="0.2">
      <c r="A18" s="14" t="s">
        <v>25</v>
      </c>
      <c r="B18" s="20">
        <v>0</v>
      </c>
      <c r="D18" s="27">
        <v>17</v>
      </c>
      <c r="E18" s="21">
        <f>ROUND(Deductible!D19*100,0)/100</f>
        <v>2278.5</v>
      </c>
      <c r="F18" s="22">
        <f>ROUND(Roth!D19*100,0)/100</f>
        <v>2624.18</v>
      </c>
      <c r="G18" s="21">
        <f>ROUND(Taxable!M19*100,0)/100</f>
        <v>1916.3</v>
      </c>
      <c r="H18" s="22">
        <f>ROUND(Annuity!D19*100,0)/100</f>
        <v>1872.75</v>
      </c>
      <c r="J18" s="9">
        <f t="shared" si="0"/>
        <v>4.9634696965516527E-2</v>
      </c>
      <c r="K18" s="29">
        <f t="shared" si="1"/>
        <v>5.8392329204032249E-2</v>
      </c>
      <c r="L18" s="29">
        <f t="shared" si="2"/>
        <v>3.8999886168498969E-2</v>
      </c>
      <c r="M18" s="10">
        <f t="shared" si="3"/>
        <v>3.7595844756274435E-2</v>
      </c>
    </row>
    <row r="19" spans="1:13" x14ac:dyDescent="0.2">
      <c r="A19" s="14" t="s">
        <v>33</v>
      </c>
      <c r="B19" s="19">
        <f>B16+B18</f>
        <v>0.35</v>
      </c>
      <c r="D19" s="27">
        <v>18</v>
      </c>
      <c r="E19" s="21">
        <f>ROUND(Deductible!D20*100,0)/100</f>
        <v>2415.21</v>
      </c>
      <c r="F19" s="22">
        <f>ROUND(Roth!D20*100,0)/100</f>
        <v>2781.63</v>
      </c>
      <c r="G19" s="21">
        <f>ROUND(Taxable!M20*100,0)/100</f>
        <v>1991.04</v>
      </c>
      <c r="H19" s="22">
        <f>ROUND(Annuity!D20*100,0)/100</f>
        <v>1954.56</v>
      </c>
      <c r="J19" s="9">
        <f t="shared" si="0"/>
        <v>5.0207878854964687E-2</v>
      </c>
      <c r="K19" s="29">
        <f t="shared" si="1"/>
        <v>5.8481563334551789E-2</v>
      </c>
      <c r="L19" s="29">
        <f t="shared" si="2"/>
        <v>3.9000017153867923E-2</v>
      </c>
      <c r="M19" s="10">
        <f t="shared" si="3"/>
        <v>3.7933165261516563E-2</v>
      </c>
    </row>
    <row r="20" spans="1:13" x14ac:dyDescent="0.2">
      <c r="A20" s="14" t="s">
        <v>34</v>
      </c>
      <c r="B20" s="19">
        <f>B17+B18</f>
        <v>0.15</v>
      </c>
      <c r="D20" s="27">
        <v>19</v>
      </c>
      <c r="E20" s="21">
        <f>ROUND(Deductible!D21*100,0)/100</f>
        <v>2560.12</v>
      </c>
      <c r="F20" s="22">
        <f>ROUND(Roth!D21*100,0)/100</f>
        <v>2948.53</v>
      </c>
      <c r="G20" s="21">
        <f>ROUND(Taxable!M21*100,0)/100</f>
        <v>2068.69</v>
      </c>
      <c r="H20" s="22">
        <f>ROUND(Annuity!D21*100,0)/100</f>
        <v>2041.07</v>
      </c>
      <c r="J20" s="9">
        <f t="shared" si="0"/>
        <v>5.072093495556429E-2</v>
      </c>
      <c r="K20" s="29">
        <f t="shared" si="1"/>
        <v>5.8561468367659207E-2</v>
      </c>
      <c r="L20" s="29">
        <f t="shared" si="2"/>
        <v>3.9000001447902714E-2</v>
      </c>
      <c r="M20" s="10">
        <f t="shared" si="3"/>
        <v>3.8265230316154551E-2</v>
      </c>
    </row>
    <row r="21" spans="1:13" x14ac:dyDescent="0.2">
      <c r="A21" s="14" t="s">
        <v>18</v>
      </c>
      <c r="B21" s="15">
        <v>0.1</v>
      </c>
      <c r="D21" s="27">
        <v>20</v>
      </c>
      <c r="E21" s="21">
        <f>ROUND(Deductible!D22*100,0)/100</f>
        <v>2713.73</v>
      </c>
      <c r="F21" s="22">
        <f>ROUND(Roth!D22*100,0)/100</f>
        <v>3125.44</v>
      </c>
      <c r="G21" s="21">
        <f>ROUND(Taxable!M22*100,0)/100</f>
        <v>2149.37</v>
      </c>
      <c r="H21" s="22">
        <f>ROUND(Annuity!D22*100,0)/100</f>
        <v>2132.56</v>
      </c>
      <c r="J21" s="9">
        <f t="shared" si="0"/>
        <v>5.118300734971367E-2</v>
      </c>
      <c r="K21" s="29">
        <f t="shared" si="1"/>
        <v>5.8633318077224536E-2</v>
      </c>
      <c r="L21" s="29">
        <f t="shared" si="2"/>
        <v>3.9000027720801342E-2</v>
      </c>
      <c r="M21" s="10">
        <f t="shared" si="3"/>
        <v>3.8592215068931825E-2</v>
      </c>
    </row>
    <row r="22" spans="1:13" x14ac:dyDescent="0.2">
      <c r="D22" s="27">
        <v>21</v>
      </c>
      <c r="E22" s="21">
        <f>ROUND(Deductible!D23*100,0)/100</f>
        <v>2876.55</v>
      </c>
      <c r="F22" s="22">
        <f>ROUND(Roth!D23*100,0)/100</f>
        <v>3312.97</v>
      </c>
      <c r="G22" s="21">
        <f>ROUND(Taxable!M23*100,0)/100</f>
        <v>2233.19</v>
      </c>
      <c r="H22" s="22">
        <f>ROUND(Annuity!D23*100,0)/100</f>
        <v>2229.31</v>
      </c>
      <c r="J22" s="9">
        <f t="shared" si="0"/>
        <v>5.1601130123085905E-2</v>
      </c>
      <c r="K22" s="29">
        <f t="shared" si="1"/>
        <v>5.8698412976045389E-2</v>
      </c>
      <c r="L22" s="29">
        <f t="shared" si="2"/>
        <v>3.8999906100032483E-2</v>
      </c>
      <c r="M22" s="10">
        <f t="shared" si="3"/>
        <v>3.8913873740521798E-2</v>
      </c>
    </row>
    <row r="23" spans="1:13" x14ac:dyDescent="0.2">
      <c r="A23" s="41" t="s">
        <v>26</v>
      </c>
      <c r="B23" s="42"/>
      <c r="D23" s="27">
        <v>22</v>
      </c>
      <c r="E23" s="21">
        <f>ROUND(Deductible!D24*100,0)/100</f>
        <v>3049.15</v>
      </c>
      <c r="F23" s="22">
        <f>ROUND(Roth!D24*100,0)/100</f>
        <v>3511.75</v>
      </c>
      <c r="G23" s="21">
        <f>ROUND(Taxable!M24*100,0)/100</f>
        <v>2320.29</v>
      </c>
      <c r="H23" s="22">
        <f>ROUND(Annuity!D24*100,0)/100</f>
        <v>2331.62</v>
      </c>
      <c r="J23" s="9">
        <f t="shared" si="0"/>
        <v>5.1981558999122546E-2</v>
      </c>
      <c r="K23" s="29">
        <f t="shared" si="1"/>
        <v>5.8757566002666739E-2</v>
      </c>
      <c r="L23" s="29">
        <f t="shared" si="2"/>
        <v>3.9000024148863444E-2</v>
      </c>
      <c r="M23" s="10">
        <f t="shared" si="3"/>
        <v>3.9230099671565925E-2</v>
      </c>
    </row>
    <row r="24" spans="1:13" x14ac:dyDescent="0.2">
      <c r="D24" s="27">
        <v>23</v>
      </c>
      <c r="E24" s="21">
        <f>ROUND(Deductible!D25*100,0)/100</f>
        <v>3232.1</v>
      </c>
      <c r="F24" s="22">
        <f>ROUND(Roth!D25*100,0)/100</f>
        <v>3722.45</v>
      </c>
      <c r="G24" s="21">
        <f>ROUND(Taxable!M25*100,0)/100</f>
        <v>2410.7800000000002</v>
      </c>
      <c r="H24" s="22">
        <f>ROUND(Annuity!D25*100,0)/100</f>
        <v>2439.81</v>
      </c>
      <c r="J24" s="9">
        <f t="shared" si="0"/>
        <v>5.2328936414586497E-2</v>
      </c>
      <c r="K24" s="29">
        <f t="shared" si="1"/>
        <v>5.8811492743618986E-2</v>
      </c>
      <c r="L24" s="29">
        <f t="shared" si="2"/>
        <v>3.8999998549824208E-2</v>
      </c>
      <c r="M24" s="10">
        <f t="shared" si="3"/>
        <v>3.9540862922378343E-2</v>
      </c>
    </row>
    <row r="25" spans="1:13" x14ac:dyDescent="0.2">
      <c r="A25" s="34" t="s">
        <v>23</v>
      </c>
      <c r="B25" s="8">
        <v>43867</v>
      </c>
      <c r="D25" s="27">
        <v>24</v>
      </c>
      <c r="E25" s="21">
        <f>ROUND(Deductible!D26*100,0)/100</f>
        <v>3426.02</v>
      </c>
      <c r="F25" s="22">
        <f>ROUND(Roth!D26*100,0)/100</f>
        <v>3945.8</v>
      </c>
      <c r="G25" s="21">
        <f>ROUND(Taxable!M26*100,0)/100</f>
        <v>2504.8000000000002</v>
      </c>
      <c r="H25" s="22">
        <f>ROUND(Annuity!D26*100,0)/100</f>
        <v>2554.2199999999998</v>
      </c>
      <c r="J25" s="9">
        <f t="shared" si="0"/>
        <v>5.2647376096421422E-2</v>
      </c>
      <c r="K25" s="29">
        <f t="shared" si="1"/>
        <v>5.8861020807270473E-2</v>
      </c>
      <c r="L25" s="29">
        <f t="shared" si="2"/>
        <v>3.8999991351186189E-2</v>
      </c>
      <c r="M25" s="10">
        <f t="shared" si="3"/>
        <v>3.9846168407931586E-2</v>
      </c>
    </row>
    <row r="26" spans="1:13" x14ac:dyDescent="0.2">
      <c r="D26" s="27">
        <v>25</v>
      </c>
      <c r="E26" s="21">
        <f>ROUND(Deductible!D27*100,0)/100</f>
        <v>3631.58</v>
      </c>
      <c r="F26" s="22">
        <f>ROUND(Roth!D27*100,0)/100</f>
        <v>4182.55</v>
      </c>
      <c r="G26" s="21">
        <f>ROUND(Taxable!M27*100,0)/100</f>
        <v>2602.4899999999998</v>
      </c>
      <c r="H26" s="22">
        <f>ROUND(Annuity!D27*100,0)/100</f>
        <v>2675.22</v>
      </c>
      <c r="J26" s="9">
        <f t="shared" si="0"/>
        <v>5.2940485552921607E-2</v>
      </c>
      <c r="K26" s="29">
        <f t="shared" si="1"/>
        <v>5.8906576722240409E-2</v>
      </c>
      <c r="L26" s="29">
        <f t="shared" si="2"/>
        <v>3.9000036411264129E-2</v>
      </c>
      <c r="M26" s="10">
        <f t="shared" si="3"/>
        <v>4.0146183983751769E-2</v>
      </c>
    </row>
    <row r="27" spans="1:13" x14ac:dyDescent="0.2">
      <c r="D27" s="27">
        <v>26</v>
      </c>
      <c r="E27" s="21">
        <f>ROUND(Deductible!D28*100,0)/100</f>
        <v>3849.48</v>
      </c>
      <c r="F27" s="22">
        <f>ROUND(Roth!D28*100,0)/100</f>
        <v>4433.5</v>
      </c>
      <c r="G27" s="21">
        <f>ROUND(Taxable!M28*100,0)/100</f>
        <v>2703.98</v>
      </c>
      <c r="H27" s="22">
        <f>ROUND(Annuity!D28*100,0)/100</f>
        <v>2803.17</v>
      </c>
      <c r="J27" s="9">
        <f t="shared" si="0"/>
        <v>5.3211188673144352E-2</v>
      </c>
      <c r="K27" s="29">
        <f t="shared" si="1"/>
        <v>5.8948583040305806E-2</v>
      </c>
      <c r="L27" s="29">
        <f t="shared" si="2"/>
        <v>3.8999929933811336E-2</v>
      </c>
      <c r="M27" s="10">
        <f t="shared" si="3"/>
        <v>4.0440588406183621E-2</v>
      </c>
    </row>
    <row r="28" spans="1:13" x14ac:dyDescent="0.2">
      <c r="D28" s="27">
        <v>27</v>
      </c>
      <c r="E28" s="21">
        <f>ROUND(Deductible!D29*100,0)/100</f>
        <v>4080.45</v>
      </c>
      <c r="F28" s="22">
        <f>ROUND(Roth!D29*100,0)/100</f>
        <v>4699.51</v>
      </c>
      <c r="G28" s="21">
        <f>ROUND(Taxable!M29*100,0)/100</f>
        <v>2809.44</v>
      </c>
      <c r="H28" s="22">
        <f>ROUND(Annuity!D29*100,0)/100</f>
        <v>2938.47</v>
      </c>
      <c r="J28" s="9">
        <f t="shared" si="0"/>
        <v>5.3461860532696644E-2</v>
      </c>
      <c r="K28" s="29">
        <f t="shared" si="1"/>
        <v>5.8987505805081331E-2</v>
      </c>
      <c r="L28" s="29">
        <f t="shared" si="2"/>
        <v>3.8999998001560218E-2</v>
      </c>
      <c r="M28" s="10">
        <f t="shared" si="3"/>
        <v>4.0729402844626991E-2</v>
      </c>
    </row>
    <row r="29" spans="1:13" x14ac:dyDescent="0.2">
      <c r="D29" s="27">
        <v>28</v>
      </c>
      <c r="E29" s="21">
        <f>ROUND(Deductible!D30*100,0)/100</f>
        <v>4325.2700000000004</v>
      </c>
      <c r="F29" s="22">
        <f>ROUND(Roth!D30*100,0)/100</f>
        <v>4981.4799999999996</v>
      </c>
      <c r="G29" s="21">
        <f>ROUND(Taxable!M30*100,0)/100</f>
        <v>2919.01</v>
      </c>
      <c r="H29" s="22">
        <f>ROUND(Annuity!D30*100,0)/100</f>
        <v>3081.56</v>
      </c>
      <c r="J29" s="9">
        <f t="shared" si="0"/>
        <v>5.3694608710583278E-2</v>
      </c>
      <c r="K29" s="29">
        <f t="shared" si="1"/>
        <v>5.9023645097849464E-2</v>
      </c>
      <c r="L29" s="29">
        <f t="shared" si="2"/>
        <v>3.9000021463460245E-2</v>
      </c>
      <c r="M29" s="10">
        <f t="shared" si="3"/>
        <v>4.101285838307954E-2</v>
      </c>
    </row>
    <row r="30" spans="1:13" x14ac:dyDescent="0.2">
      <c r="D30" s="27">
        <v>29</v>
      </c>
      <c r="E30" s="21">
        <f>ROUND(Deductible!D31*100,0)/100</f>
        <v>4584.79</v>
      </c>
      <c r="F30" s="22">
        <f>ROUND(Roth!D31*100,0)/100</f>
        <v>5280.37</v>
      </c>
      <c r="G30" s="21">
        <f>ROUND(Taxable!M31*100,0)/100</f>
        <v>3032.85</v>
      </c>
      <c r="H30" s="22">
        <f>ROUND(Annuity!D31*100,0)/100</f>
        <v>3232.87</v>
      </c>
      <c r="J30" s="9">
        <f t="shared" si="0"/>
        <v>5.3911440450332922E-2</v>
      </c>
      <c r="K30" s="29">
        <f t="shared" si="1"/>
        <v>5.9057305832113445E-2</v>
      </c>
      <c r="L30" s="29">
        <f t="shared" si="2"/>
        <v>3.9000004303053247E-2</v>
      </c>
      <c r="M30" s="10">
        <f t="shared" si="3"/>
        <v>4.1290744806815223E-2</v>
      </c>
    </row>
    <row r="31" spans="1:13" x14ac:dyDescent="0.2">
      <c r="D31" s="27">
        <v>30</v>
      </c>
      <c r="E31" s="21">
        <f>ROUND(Deductible!D32*100,0)/100</f>
        <v>4859.88</v>
      </c>
      <c r="F31" s="22">
        <f>ROUND(Roth!D32*100,0)/100</f>
        <v>5597.19</v>
      </c>
      <c r="G31" s="21">
        <f>ROUND(Taxable!M32*100,0)/100</f>
        <v>3151.13</v>
      </c>
      <c r="H31" s="22">
        <f>ROUND(Annuity!D32*100,0)/100</f>
        <v>3392.89</v>
      </c>
      <c r="J31" s="9">
        <f t="shared" si="0"/>
        <v>5.4113846674031449E-2</v>
      </c>
      <c r="K31" s="29">
        <f t="shared" si="1"/>
        <v>5.9088701583951436E-2</v>
      </c>
      <c r="L31" s="29">
        <f t="shared" si="2"/>
        <v>3.8999991520311E-2</v>
      </c>
      <c r="M31" s="10">
        <f t="shared" si="3"/>
        <v>4.156327700563351E-2</v>
      </c>
    </row>
    <row r="32" spans="1:13" x14ac:dyDescent="0.2">
      <c r="D32" s="27">
        <v>31</v>
      </c>
      <c r="E32" s="21">
        <f>ROUND(Deductible!D33*100,0)/100</f>
        <v>5151.47</v>
      </c>
      <c r="F32" s="22">
        <f>ROUND(Roth!D33*100,0)/100</f>
        <v>5933.03</v>
      </c>
      <c r="G32" s="21">
        <f>ROUND(Taxable!M33*100,0)/100</f>
        <v>3274.02</v>
      </c>
      <c r="H32" s="22">
        <f>ROUND(Annuity!D33*100,0)/100</f>
        <v>3562.11</v>
      </c>
      <c r="I32" s="13"/>
      <c r="J32" s="9">
        <f t="shared" si="0"/>
        <v>5.430319294271635E-2</v>
      </c>
      <c r="K32" s="29">
        <f t="shared" si="1"/>
        <v>5.9118135597642396E-2</v>
      </c>
      <c r="L32" s="29">
        <f t="shared" si="2"/>
        <v>3.8999950129529087E-2</v>
      </c>
      <c r="M32" s="10">
        <f t="shared" si="3"/>
        <v>4.1830363526092339E-2</v>
      </c>
    </row>
    <row r="33" spans="4:13" x14ac:dyDescent="0.2">
      <c r="D33" s="27">
        <v>32</v>
      </c>
      <c r="E33" s="21">
        <f>ROUND(Deductible!D34*100,0)/100</f>
        <v>5460.56</v>
      </c>
      <c r="F33" s="22">
        <f>ROUND(Roth!D34*100,0)/100</f>
        <v>6289.01</v>
      </c>
      <c r="G33" s="21">
        <f>ROUND(Taxable!M34*100,0)/100</f>
        <v>3401.71</v>
      </c>
      <c r="H33" s="22">
        <f>ROUND(Annuity!D34*100,0)/100</f>
        <v>3741.05</v>
      </c>
      <c r="I33" s="13"/>
      <c r="J33" s="9">
        <f t="shared" si="0"/>
        <v>5.4480764732032241E-2</v>
      </c>
      <c r="K33" s="29">
        <f t="shared" si="1"/>
        <v>5.9145673278201277E-2</v>
      </c>
      <c r="L33" s="29">
        <f t="shared" si="2"/>
        <v>3.8999982422041383E-2</v>
      </c>
      <c r="M33" s="10">
        <f t="shared" si="3"/>
        <v>4.2091964924522544E-2</v>
      </c>
    </row>
    <row r="34" spans="4:13" x14ac:dyDescent="0.2">
      <c r="D34" s="27">
        <v>33</v>
      </c>
      <c r="E34" s="21">
        <f>ROUND(Deductible!D35*100,0)/100</f>
        <v>5788.19</v>
      </c>
      <c r="F34" s="22">
        <f>ROUND(Roth!D35*100,0)/100</f>
        <v>6666.35</v>
      </c>
      <c r="G34" s="21">
        <f>ROUND(Taxable!M35*100,0)/100</f>
        <v>3534.38</v>
      </c>
      <c r="H34" s="22">
        <f>ROUND(Annuity!D35*100,0)/100</f>
        <v>3930.29</v>
      </c>
      <c r="I34" s="13"/>
      <c r="J34" s="9">
        <f t="shared" si="0"/>
        <v>5.4647571426377418E-2</v>
      </c>
      <c r="K34" s="29">
        <f t="shared" si="1"/>
        <v>5.9171548958560825E-2</v>
      </c>
      <c r="L34" s="29">
        <f t="shared" si="2"/>
        <v>3.9000012440754461E-2</v>
      </c>
      <c r="M34" s="10">
        <f t="shared" si="3"/>
        <v>4.2348309903217717E-2</v>
      </c>
    </row>
    <row r="35" spans="4:13" x14ac:dyDescent="0.2">
      <c r="D35" s="27">
        <v>34</v>
      </c>
      <c r="E35" s="21">
        <f>ROUND(Deductible!D36*100,0)/100</f>
        <v>6135.48</v>
      </c>
      <c r="F35" s="22">
        <f>ROUND(Roth!D36*100,0)/100</f>
        <v>7066.33</v>
      </c>
      <c r="G35" s="21">
        <f>ROUND(Taxable!M36*100,0)/100</f>
        <v>3672.22</v>
      </c>
      <c r="H35" s="22">
        <f>ROUND(Annuity!D36*100,0)/100</f>
        <v>4130.3999999999996</v>
      </c>
      <c r="I35" s="13"/>
      <c r="J35" s="9">
        <f t="shared" si="0"/>
        <v>5.4804602282789446E-2</v>
      </c>
      <c r="K35" s="29">
        <f t="shared" si="1"/>
        <v>5.919590151281065E-2</v>
      </c>
      <c r="L35" s="29">
        <f t="shared" si="2"/>
        <v>3.9000005251121281E-2</v>
      </c>
      <c r="M35" s="10">
        <f t="shared" si="3"/>
        <v>4.2599266519498455E-2</v>
      </c>
    </row>
    <row r="36" spans="4:13" x14ac:dyDescent="0.2">
      <c r="D36" s="27">
        <v>35</v>
      </c>
      <c r="E36" s="21">
        <f>ROUND(Deductible!D37*100,0)/100</f>
        <v>6503.61</v>
      </c>
      <c r="F36" s="22">
        <f>ROUND(Roth!D37*100,0)/100</f>
        <v>7490.31</v>
      </c>
      <c r="G36" s="21">
        <f>ROUND(Taxable!M37*100,0)/100</f>
        <v>3815.44</v>
      </c>
      <c r="H36" s="22">
        <f>ROUND(Annuity!D37*100,0)/100</f>
        <v>4342.03</v>
      </c>
      <c r="I36" s="13"/>
      <c r="J36" s="9">
        <f t="shared" si="0"/>
        <v>5.4952693801627123E-2</v>
      </c>
      <c r="K36" s="29">
        <f t="shared" si="1"/>
        <v>5.9218868096196468E-2</v>
      </c>
      <c r="L36" s="29">
        <f t="shared" si="2"/>
        <v>3.9000031710127704E-2</v>
      </c>
      <c r="M36" s="10">
        <f t="shared" si="3"/>
        <v>4.284507594425848E-2</v>
      </c>
    </row>
    <row r="37" spans="4:13" x14ac:dyDescent="0.2">
      <c r="D37" s="27">
        <v>36</v>
      </c>
      <c r="E37" s="21">
        <f>ROUND(Deductible!D38*100,0)/100</f>
        <v>6893.83</v>
      </c>
      <c r="F37" s="22">
        <f>ROUND(Roth!D38*100,0)/100</f>
        <v>7939.73</v>
      </c>
      <c r="G37" s="21">
        <f>ROUND(Taxable!M38*100,0)/100</f>
        <v>3964.24</v>
      </c>
      <c r="H37" s="22">
        <f>ROUND(Annuity!D38*100,0)/100</f>
        <v>4565.82</v>
      </c>
      <c r="I37" s="13"/>
      <c r="J37" s="9">
        <f t="shared" si="0"/>
        <v>5.5092586151772135E-2</v>
      </c>
      <c r="K37" s="29">
        <f t="shared" si="1"/>
        <v>5.9240563618073179E-2</v>
      </c>
      <c r="L37" s="29">
        <f t="shared" si="2"/>
        <v>3.9000015103708284E-2</v>
      </c>
      <c r="M37" s="10">
        <f t="shared" si="3"/>
        <v>4.3085639286965231E-2</v>
      </c>
    </row>
    <row r="38" spans="4:13" x14ac:dyDescent="0.2">
      <c r="D38" s="27">
        <v>37</v>
      </c>
      <c r="E38" s="21">
        <f>ROUND(Deductible!D39*100,0)/100</f>
        <v>7307.46</v>
      </c>
      <c r="F38" s="22">
        <f>ROUND(Roth!D39*100,0)/100</f>
        <v>8416.11</v>
      </c>
      <c r="G38" s="21">
        <f>ROUND(Taxable!M39*100,0)/100</f>
        <v>4118.84</v>
      </c>
      <c r="H38" s="22">
        <f>ROUND(Annuity!D39*100,0)/100</f>
        <v>4802.4799999999996</v>
      </c>
      <c r="I38" s="13"/>
      <c r="J38" s="9">
        <f t="shared" si="0"/>
        <v>5.5224920541547852E-2</v>
      </c>
      <c r="K38" s="29">
        <f t="shared" si="1"/>
        <v>5.9261068843711392E-2</v>
      </c>
      <c r="L38" s="29">
        <f t="shared" si="2"/>
        <v>3.8999978152566644E-2</v>
      </c>
      <c r="M38" s="10">
        <f t="shared" si="3"/>
        <v>4.3321094356401225E-2</v>
      </c>
    </row>
    <row r="39" spans="4:13" x14ac:dyDescent="0.2">
      <c r="D39" s="27">
        <v>38</v>
      </c>
      <c r="E39" s="21">
        <f>ROUND(Deductible!D40*100,0)/100</f>
        <v>7745.91</v>
      </c>
      <c r="F39" s="22">
        <f>ROUND(Roth!D40*100,0)/100</f>
        <v>8921.08</v>
      </c>
      <c r="G39" s="21">
        <f>ROUND(Taxable!M40*100,0)/100</f>
        <v>4279.4799999999996</v>
      </c>
      <c r="H39" s="22">
        <f>ROUND(Annuity!D40*100,0)/100</f>
        <v>5052.75</v>
      </c>
      <c r="I39" s="13"/>
      <c r="J39" s="9">
        <f t="shared" si="0"/>
        <v>5.5350313118907667E-2</v>
      </c>
      <c r="K39" s="29">
        <f t="shared" si="1"/>
        <v>5.9280518423470124E-2</v>
      </c>
      <c r="L39" s="29">
        <f t="shared" si="2"/>
        <v>3.9000012206502475E-2</v>
      </c>
      <c r="M39" s="10">
        <f t="shared" si="3"/>
        <v>4.3551507420407268E-2</v>
      </c>
    </row>
    <row r="40" spans="4:13" x14ac:dyDescent="0.2">
      <c r="D40" s="27">
        <v>39</v>
      </c>
      <c r="E40" s="21">
        <f>ROUND(Deductible!D41*100,0)/100</f>
        <v>8210.66</v>
      </c>
      <c r="F40" s="22">
        <f>ROUND(Roth!D41*100,0)/100</f>
        <v>9456.34</v>
      </c>
      <c r="G40" s="21">
        <f>ROUND(Taxable!M41*100,0)/100</f>
        <v>4446.38</v>
      </c>
      <c r="H40" s="22">
        <f>ROUND(Annuity!D41*100,0)/100</f>
        <v>5317.4</v>
      </c>
      <c r="I40" s="13"/>
      <c r="J40" s="9">
        <f t="shared" si="0"/>
        <v>5.546926553402317E-2</v>
      </c>
      <c r="K40" s="29">
        <f t="shared" si="1"/>
        <v>5.9298946780142484E-2</v>
      </c>
      <c r="L40" s="29">
        <f t="shared" si="2"/>
        <v>3.9000013571174233E-2</v>
      </c>
      <c r="M40" s="10">
        <f t="shared" si="3"/>
        <v>4.3776885525088738E-2</v>
      </c>
    </row>
    <row r="41" spans="4:13" ht="13.5" thickBot="1" x14ac:dyDescent="0.25">
      <c r="D41" s="28">
        <v>40</v>
      </c>
      <c r="E41" s="23">
        <f>ROUND(Deductible!D42*100,0)/100</f>
        <v>8703.2999999999993</v>
      </c>
      <c r="F41" s="24">
        <f>ROUND(Roth!D42*100,0)/100</f>
        <v>10023.719999999999</v>
      </c>
      <c r="G41" s="23">
        <f>ROUND(Taxable!M42*100,0)/100</f>
        <v>4619.79</v>
      </c>
      <c r="H41" s="24">
        <f>ROUND(Annuity!D42*100,0)/100</f>
        <v>5597.28</v>
      </c>
      <c r="I41" s="13"/>
      <c r="J41" s="11">
        <f t="shared" si="0"/>
        <v>5.5582298744651634E-2</v>
      </c>
      <c r="K41" s="31">
        <f t="shared" si="1"/>
        <v>5.9316466401742131E-2</v>
      </c>
      <c r="L41" s="31">
        <f t="shared" si="2"/>
        <v>3.9000019866521088E-2</v>
      </c>
      <c r="M41" s="12">
        <f t="shared" si="3"/>
        <v>4.3997420984932811E-2</v>
      </c>
    </row>
    <row r="42" spans="4:13" x14ac:dyDescent="0.2">
      <c r="D42" s="27">
        <v>41</v>
      </c>
      <c r="E42" s="25">
        <f>ROUND(Deductible!D43*100,0)/100</f>
        <v>9225.5</v>
      </c>
      <c r="F42" s="26">
        <f>ROUND(Roth!D43*100,0)/100</f>
        <v>10625.15</v>
      </c>
      <c r="G42" s="25">
        <f>ROUND(Taxable!M43*100,0)/100</f>
        <v>4799.96</v>
      </c>
      <c r="H42" s="26">
        <f>ROUND(Annuity!D43*100,0)/100</f>
        <v>5893.25</v>
      </c>
      <c r="I42" s="13"/>
      <c r="J42" s="9">
        <f t="shared" ref="J42:J50" si="4">RATE($D42,0,-InitInv,E42)</f>
        <v>5.5689833772487242E-2</v>
      </c>
      <c r="K42" s="29">
        <f t="shared" ref="K42:K50" si="5">RATE($D42,0,-InitInv,F42)</f>
        <v>5.9333149243306682E-2</v>
      </c>
      <c r="L42" s="29">
        <f t="shared" ref="L42:L50" si="6">RATE($D42,0,-InitInv,G42)</f>
        <v>3.900000982610187E-2</v>
      </c>
      <c r="M42" s="10">
        <f t="shared" ref="M42:M50" si="7">RATE($D42,0,-InitInv,H42)</f>
        <v>4.4213113869323369E-2</v>
      </c>
    </row>
    <row r="43" spans="4:13" x14ac:dyDescent="0.2">
      <c r="D43" s="27">
        <v>42</v>
      </c>
      <c r="E43" s="21">
        <f>ROUND(Deductible!D44*100,0)/100</f>
        <v>9779.0300000000007</v>
      </c>
      <c r="F43" s="22">
        <f>ROUND(Roth!D44*100,0)/100</f>
        <v>11262.66</v>
      </c>
      <c r="G43" s="21">
        <f>ROUND(Taxable!M44*100,0)/100</f>
        <v>4987.16</v>
      </c>
      <c r="H43" s="22">
        <f>ROUND(Annuity!D44*100,0)/100</f>
        <v>6206.23</v>
      </c>
      <c r="I43" s="13"/>
      <c r="J43" s="9">
        <f t="shared" si="4"/>
        <v>5.579225281989033E-2</v>
      </c>
      <c r="K43" s="29">
        <f t="shared" si="5"/>
        <v>5.9349024005360428E-2</v>
      </c>
      <c r="L43" s="29">
        <f t="shared" si="6"/>
        <v>3.90000173304582E-2</v>
      </c>
      <c r="M43" s="10">
        <f t="shared" si="7"/>
        <v>4.442402637134215E-2</v>
      </c>
    </row>
    <row r="44" spans="4:13" x14ac:dyDescent="0.2">
      <c r="D44" s="27">
        <v>43</v>
      </c>
      <c r="E44" s="21">
        <f>ROUND(Deductible!D45*100,0)/100</f>
        <v>10365.77</v>
      </c>
      <c r="F44" s="22">
        <f>ROUND(Roth!D45*100,0)/100</f>
        <v>11938.41</v>
      </c>
      <c r="G44" s="21">
        <f>ROUND(Taxable!M45*100,0)/100</f>
        <v>5181.66</v>
      </c>
      <c r="H44" s="22">
        <f>ROUND(Annuity!D45*100,0)/100</f>
        <v>6537.22</v>
      </c>
      <c r="I44" s="13"/>
      <c r="J44" s="9">
        <f t="shared" si="4"/>
        <v>5.58899131802367E-2</v>
      </c>
      <c r="K44" s="29">
        <f t="shared" si="5"/>
        <v>5.936413862973685E-2</v>
      </c>
      <c r="L44" s="29">
        <f t="shared" si="6"/>
        <v>3.9000020471189348E-2</v>
      </c>
      <c r="M44" s="10">
        <f t="shared" si="7"/>
        <v>4.4630328015275229E-2</v>
      </c>
    </row>
    <row r="45" spans="4:13" x14ac:dyDescent="0.2">
      <c r="D45" s="27">
        <v>44</v>
      </c>
      <c r="E45" s="21">
        <f>ROUND(Deductible!D46*100,0)/100</f>
        <v>10987.72</v>
      </c>
      <c r="F45" s="22">
        <f>ROUND(Roth!D46*100,0)/100</f>
        <v>12654.72</v>
      </c>
      <c r="G45" s="21">
        <f>ROUND(Taxable!M46*100,0)/100</f>
        <v>5383.74</v>
      </c>
      <c r="H45" s="22">
        <f>ROUND(Annuity!D46*100,0)/100</f>
        <v>6887.23</v>
      </c>
      <c r="I45" s="13"/>
      <c r="J45" s="9">
        <f t="shared" si="4"/>
        <v>5.5983155327907146E-2</v>
      </c>
      <c r="K45" s="29">
        <f t="shared" si="5"/>
        <v>5.9378596061711898E-2</v>
      </c>
      <c r="L45" s="29">
        <f t="shared" si="6"/>
        <v>3.8999999215817399E-2</v>
      </c>
      <c r="M45" s="10">
        <f t="shared" si="7"/>
        <v>4.4832006335367144E-2</v>
      </c>
    </row>
    <row r="46" spans="4:13" x14ac:dyDescent="0.2">
      <c r="D46" s="27">
        <v>45</v>
      </c>
      <c r="E46" s="21">
        <f>ROUND(Deductible!D47*100,0)/100</f>
        <v>11646.98</v>
      </c>
      <c r="F46" s="22">
        <f>ROUND(Roth!D47*100,0)/100</f>
        <v>13414</v>
      </c>
      <c r="G46" s="21">
        <f>ROUND(Taxable!M47*100,0)/100</f>
        <v>5593.71</v>
      </c>
      <c r="H46" s="22">
        <f>ROUND(Annuity!D47*100,0)/100</f>
        <v>7257.37</v>
      </c>
      <c r="I46" s="13"/>
      <c r="J46" s="9">
        <f t="shared" si="4"/>
        <v>5.6072246509051606E-2</v>
      </c>
      <c r="K46" s="29">
        <f t="shared" si="5"/>
        <v>5.939239546358268E-2</v>
      </c>
      <c r="L46" s="29">
        <f t="shared" si="6"/>
        <v>3.9000016321729926E-2</v>
      </c>
      <c r="M46" s="10">
        <f t="shared" si="7"/>
        <v>4.5029206079707056E-2</v>
      </c>
    </row>
    <row r="47" spans="4:13" x14ac:dyDescent="0.2">
      <c r="D47" s="27">
        <v>46</v>
      </c>
      <c r="E47" s="21">
        <f>ROUND(Deductible!D48*100,0)/100</f>
        <v>12345.8</v>
      </c>
      <c r="F47" s="22">
        <f>ROUND(Roth!D48*100,0)/100</f>
        <v>14218.84</v>
      </c>
      <c r="G47" s="21">
        <f>ROUND(Taxable!M48*100,0)/100</f>
        <v>5811.86</v>
      </c>
      <c r="H47" s="22">
        <f>ROUND(Annuity!D48*100,0)/100</f>
        <v>7648.8</v>
      </c>
      <c r="I47" s="13"/>
      <c r="J47" s="9">
        <f t="shared" si="4"/>
        <v>5.6157479733832061E-2</v>
      </c>
      <c r="K47" s="29">
        <f t="shared" si="5"/>
        <v>5.940560055379681E-2</v>
      </c>
      <c r="L47" s="29">
        <f t="shared" si="6"/>
        <v>3.8999997739907512E-2</v>
      </c>
      <c r="M47" s="10">
        <f t="shared" si="7"/>
        <v>4.5222018920336927E-2</v>
      </c>
    </row>
    <row r="48" spans="4:13" x14ac:dyDescent="0.2">
      <c r="D48" s="27">
        <v>47</v>
      </c>
      <c r="E48" s="21">
        <f>ROUND(Deductible!D49*100,0)/100</f>
        <v>13086.54</v>
      </c>
      <c r="F48" s="22">
        <f>ROUND(Roth!D49*100,0)/100</f>
        <v>15071.97</v>
      </c>
      <c r="G48" s="21">
        <f>ROUND(Taxable!M49*100,0)/100</f>
        <v>6038.52</v>
      </c>
      <c r="H48" s="22">
        <f>ROUND(Annuity!D49*100,0)/100</f>
        <v>8062.73</v>
      </c>
      <c r="I48" s="13"/>
      <c r="J48" s="9">
        <f t="shared" si="4"/>
        <v>5.6239076536439461E-2</v>
      </c>
      <c r="K48" s="29">
        <f t="shared" si="5"/>
        <v>5.9418243281058325E-2</v>
      </c>
      <c r="L48" s="29">
        <f t="shared" si="6"/>
        <v>3.8999988489325427E-2</v>
      </c>
      <c r="M48" s="10">
        <f t="shared" si="7"/>
        <v>4.5410489772217968E-2</v>
      </c>
    </row>
    <row r="49" spans="4:13" x14ac:dyDescent="0.2">
      <c r="D49" s="27">
        <v>48</v>
      </c>
      <c r="E49" s="21">
        <f>ROUND(Deductible!D50*100,0)/100</f>
        <v>13871.74</v>
      </c>
      <c r="F49" s="22">
        <f>ROUND(Roth!D50*100,0)/100</f>
        <v>15976.29</v>
      </c>
      <c r="G49" s="21">
        <f>ROUND(Taxable!M50*100,0)/100</f>
        <v>6274.03</v>
      </c>
      <c r="H49" s="22">
        <f>ROUND(Annuity!D50*100,0)/100</f>
        <v>8500.4599999999991</v>
      </c>
      <c r="I49" s="13"/>
      <c r="J49" s="9">
        <f t="shared" si="4"/>
        <v>5.6317304897633612E-2</v>
      </c>
      <c r="K49" s="29">
        <f t="shared" si="5"/>
        <v>5.9430362442235408E-2</v>
      </c>
      <c r="L49" s="29">
        <f t="shared" si="6"/>
        <v>3.9000015363676685E-2</v>
      </c>
      <c r="M49" s="10">
        <f t="shared" si="7"/>
        <v>4.5594725831350422E-2</v>
      </c>
    </row>
    <row r="50" spans="4:13" x14ac:dyDescent="0.2">
      <c r="D50" s="27">
        <v>49</v>
      </c>
      <c r="E50" s="21">
        <f>ROUND(Deductible!D51*100,0)/100</f>
        <v>14704.04</v>
      </c>
      <c r="F50" s="22">
        <f>ROUND(Roth!D51*100,0)/100</f>
        <v>16934.87</v>
      </c>
      <c r="G50" s="21">
        <f>ROUND(Taxable!M51*100,0)/100</f>
        <v>6518.71</v>
      </c>
      <c r="H50" s="22">
        <f>ROUND(Annuity!D51*100,0)/100</f>
        <v>8963.36</v>
      </c>
      <c r="I50" s="13"/>
      <c r="J50" s="9">
        <f t="shared" si="4"/>
        <v>5.6392327445470791E-2</v>
      </c>
      <c r="K50" s="29">
        <f t="shared" si="5"/>
        <v>5.9441987957533624E-2</v>
      </c>
      <c r="L50" s="29">
        <f t="shared" si="6"/>
        <v>3.8999991727545695E-2</v>
      </c>
      <c r="M50" s="10">
        <f t="shared" si="7"/>
        <v>4.5774819165136274E-2</v>
      </c>
    </row>
    <row r="51" spans="4:13" x14ac:dyDescent="0.2">
      <c r="D51" s="27">
        <v>50</v>
      </c>
      <c r="E51" s="21">
        <f>ROUND(Deductible!D52*100,0)/100</f>
        <v>15586.28</v>
      </c>
      <c r="F51" s="22">
        <f>ROUND(Roth!D52*100,0)/100</f>
        <v>17950.96</v>
      </c>
      <c r="G51" s="21">
        <f>ROUND(Taxable!M52*100,0)/100</f>
        <v>6772.94</v>
      </c>
      <c r="H51" s="22">
        <f>ROUND(Annuity!D52*100,0)/100</f>
        <v>9452.8799999999992</v>
      </c>
      <c r="I51" s="13"/>
      <c r="J51" s="9">
        <f t="shared" ref="J51:J101" si="8">RATE($D51,0,-InitInv,E51)</f>
        <v>5.6464357173413651E-2</v>
      </c>
      <c r="K51" s="29">
        <f t="shared" ref="K51:K101" si="9">RATE($D51,0,-InitInv,F51)</f>
        <v>5.9453142722245798E-2</v>
      </c>
      <c r="L51" s="29">
        <f t="shared" ref="L51:L101" si="10">RATE($D51,0,-InitInv,G51)</f>
        <v>3.8999992844105567E-2</v>
      </c>
      <c r="M51" s="10">
        <f t="shared" ref="M51:M101" si="11">RATE($D51,0,-InitInv,H51)</f>
        <v>4.5950863731857694E-2</v>
      </c>
    </row>
    <row r="52" spans="4:13" x14ac:dyDescent="0.2">
      <c r="D52" s="27">
        <v>51</v>
      </c>
      <c r="E52" s="21">
        <f>ROUND(Deductible!D53*100,0)/100</f>
        <v>16521.46</v>
      </c>
      <c r="F52" s="22">
        <f>ROUND(Roth!D53*100,0)/100</f>
        <v>19028.02</v>
      </c>
      <c r="G52" s="21">
        <f>ROUND(Taxable!M53*100,0)/100</f>
        <v>7037.09</v>
      </c>
      <c r="H52" s="22">
        <f>ROUND(Annuity!D53*100,0)/100</f>
        <v>9970.5499999999993</v>
      </c>
      <c r="I52" s="13"/>
      <c r="J52" s="9">
        <f t="shared" si="8"/>
        <v>5.6533574034767275E-2</v>
      </c>
      <c r="K52" s="29">
        <f t="shared" si="9"/>
        <v>5.9463865321985089E-2</v>
      </c>
      <c r="L52" s="29">
        <f t="shared" si="10"/>
        <v>3.9000008443862165E-2</v>
      </c>
      <c r="M52" s="10">
        <f t="shared" si="11"/>
        <v>4.612294504396907E-2</v>
      </c>
    </row>
    <row r="53" spans="4:13" x14ac:dyDescent="0.2">
      <c r="D53" s="27">
        <v>52</v>
      </c>
      <c r="E53" s="21">
        <f>ROUND(Deductible!D54*100,0)/100</f>
        <v>17512.75</v>
      </c>
      <c r="F53" s="22">
        <f>ROUND(Roth!D54*100,0)/100</f>
        <v>20169.7</v>
      </c>
      <c r="G53" s="21">
        <f>ROUND(Taxable!M54*100,0)/100</f>
        <v>7311.53</v>
      </c>
      <c r="H53" s="22">
        <f>ROUND(Annuity!D54*100,0)/100</f>
        <v>10517.98</v>
      </c>
      <c r="I53" s="13"/>
      <c r="J53" s="9">
        <f t="shared" si="8"/>
        <v>5.6600131834807568E-2</v>
      </c>
      <c r="K53" s="29">
        <f t="shared" si="9"/>
        <v>5.9474171834367193E-2</v>
      </c>
      <c r="L53" s="29">
        <f t="shared" si="10"/>
        <v>3.8999990491143416E-2</v>
      </c>
      <c r="M53" s="10">
        <f t="shared" si="11"/>
        <v>4.6291133462192609E-2</v>
      </c>
    </row>
    <row r="54" spans="4:13" x14ac:dyDescent="0.2">
      <c r="D54" s="27">
        <v>53</v>
      </c>
      <c r="E54" s="21">
        <f>ROUND(Deductible!D55*100,0)/100</f>
        <v>18563.509999999998</v>
      </c>
      <c r="F54" s="22">
        <f>ROUND(Roth!D55*100,0)/100</f>
        <v>21379.88</v>
      </c>
      <c r="G54" s="21">
        <f>ROUND(Taxable!M55*100,0)/100</f>
        <v>7596.68</v>
      </c>
      <c r="H54" s="22">
        <f>ROUND(Annuity!D55*100,0)/100</f>
        <v>11096.89</v>
      </c>
      <c r="I54" s="13"/>
      <c r="J54" s="9">
        <f t="shared" si="8"/>
        <v>5.6664173876107823E-2</v>
      </c>
      <c r="K54" s="29">
        <f t="shared" si="9"/>
        <v>5.9484088835729448E-2</v>
      </c>
      <c r="L54" s="29">
        <f t="shared" si="10"/>
        <v>3.899999152221309E-2</v>
      </c>
      <c r="M54" s="10">
        <f t="shared" si="11"/>
        <v>4.6455533678289765E-2</v>
      </c>
    </row>
    <row r="55" spans="4:13" x14ac:dyDescent="0.2">
      <c r="D55" s="27">
        <v>54</v>
      </c>
      <c r="E55" s="21">
        <f>ROUND(Deductible!D56*100,0)/100</f>
        <v>19677.32</v>
      </c>
      <c r="F55" s="22">
        <f>ROUND(Roth!D56*100,0)/100</f>
        <v>22662.68</v>
      </c>
      <c r="G55" s="21">
        <f>ROUND(Taxable!M56*100,0)/100</f>
        <v>7892.95</v>
      </c>
      <c r="H55" s="22">
        <f>ROUND(Annuity!D56*100,0)/100</f>
        <v>11709.08</v>
      </c>
      <c r="I55" s="13"/>
      <c r="J55" s="9">
        <f t="shared" si="8"/>
        <v>5.6725852332769305E-2</v>
      </c>
      <c r="K55" s="29">
        <f t="shared" si="9"/>
        <v>5.9493646697284484E-2</v>
      </c>
      <c r="L55" s="29">
        <f t="shared" si="10"/>
        <v>3.8999990411499048E-2</v>
      </c>
      <c r="M55" s="10">
        <f t="shared" si="11"/>
        <v>4.6616214703479542E-2</v>
      </c>
    </row>
    <row r="56" spans="4:13" x14ac:dyDescent="0.2">
      <c r="D56" s="27">
        <v>55</v>
      </c>
      <c r="E56" s="21">
        <f>ROUND(Deductible!D57*100,0)/100</f>
        <v>20857.96</v>
      </c>
      <c r="F56" s="22">
        <f>ROUND(Roth!D57*100,0)/100</f>
        <v>24022.44</v>
      </c>
      <c r="G56" s="21">
        <f>ROUND(Taxable!M57*100,0)/100</f>
        <v>8200.7800000000007</v>
      </c>
      <c r="H56" s="22">
        <f>ROUND(Annuity!D57*100,0)/100</f>
        <v>12356.48</v>
      </c>
      <c r="I56" s="13"/>
      <c r="J56" s="9">
        <f t="shared" si="8"/>
        <v>5.6785292665530833E-2</v>
      </c>
      <c r="K56" s="29">
        <f t="shared" si="9"/>
        <v>5.9502850320160894E-2</v>
      </c>
      <c r="L56" s="29">
        <f t="shared" si="10"/>
        <v>3.9000001988412872E-2</v>
      </c>
      <c r="M56" s="10">
        <f t="shared" si="11"/>
        <v>4.6773289426170782E-2</v>
      </c>
    </row>
    <row r="57" spans="4:13" x14ac:dyDescent="0.2">
      <c r="D57" s="27">
        <v>56</v>
      </c>
      <c r="E57" s="21">
        <f>ROUND(Deductible!D58*100,0)/100</f>
        <v>22109.439999999999</v>
      </c>
      <c r="F57" s="22">
        <f>ROUND(Roth!D58*100,0)/100</f>
        <v>25463.78</v>
      </c>
      <c r="G57" s="21">
        <f>ROUND(Taxable!M58*100,0)/100</f>
        <v>8520.61</v>
      </c>
      <c r="H57" s="22">
        <f>ROUND(Annuity!D58*100,0)/100</f>
        <v>13041.1</v>
      </c>
      <c r="I57" s="13"/>
      <c r="J57" s="9">
        <f t="shared" si="8"/>
        <v>5.6842614620531098E-2</v>
      </c>
      <c r="K57" s="29">
        <f t="shared" si="9"/>
        <v>5.9511721192745642E-2</v>
      </c>
      <c r="L57" s="29">
        <f t="shared" si="10"/>
        <v>3.9000001038358295E-2</v>
      </c>
      <c r="M57" s="10">
        <f t="shared" si="11"/>
        <v>4.6926819557614685E-2</v>
      </c>
    </row>
    <row r="58" spans="4:13" x14ac:dyDescent="0.2">
      <c r="D58" s="27">
        <v>57</v>
      </c>
      <c r="E58" s="21">
        <f>ROUND(Deductible!D59*100,0)/100</f>
        <v>23436.01</v>
      </c>
      <c r="F58" s="22">
        <f>ROUND(Roth!D59*100,0)/100</f>
        <v>26991.61</v>
      </c>
      <c r="G58" s="21">
        <f>ROUND(Taxable!M59*100,0)/100</f>
        <v>8852.91</v>
      </c>
      <c r="H58" s="22">
        <f>ROUND(Annuity!D59*100,0)/100</f>
        <v>13765.09</v>
      </c>
      <c r="I58" s="13"/>
      <c r="J58" s="9">
        <f t="shared" si="8"/>
        <v>5.689792906187071E-2</v>
      </c>
      <c r="K58" s="29">
        <f t="shared" si="9"/>
        <v>5.9520287752646617E-2</v>
      </c>
      <c r="L58" s="29">
        <f t="shared" si="10"/>
        <v>3.8999993216563625E-2</v>
      </c>
      <c r="M58" s="10">
        <f t="shared" si="11"/>
        <v>4.707690330735987E-2</v>
      </c>
    </row>
    <row r="59" spans="4:13" x14ac:dyDescent="0.2">
      <c r="D59" s="27">
        <v>58</v>
      </c>
      <c r="E59" s="21">
        <f>ROUND(Deductible!D60*100,0)/100</f>
        <v>24842.17</v>
      </c>
      <c r="F59" s="22">
        <f>ROUND(Roth!D60*100,0)/100</f>
        <v>28611.11</v>
      </c>
      <c r="G59" s="21">
        <f>ROUND(Taxable!M60*100,0)/100</f>
        <v>9198.18</v>
      </c>
      <c r="H59" s="22">
        <f>ROUND(Annuity!D60*100,0)/100</f>
        <v>14530.71</v>
      </c>
      <c r="I59" s="13"/>
      <c r="J59" s="9">
        <f t="shared" si="8"/>
        <v>5.6951335616374325E-2</v>
      </c>
      <c r="K59" s="29">
        <f t="shared" si="9"/>
        <v>5.9528558984761282E-2</v>
      </c>
      <c r="L59" s="29">
        <f t="shared" si="10"/>
        <v>3.9000006011987803E-2</v>
      </c>
      <c r="M59" s="10">
        <f t="shared" si="11"/>
        <v>4.7223617789968975E-2</v>
      </c>
    </row>
    <row r="60" spans="4:13" x14ac:dyDescent="0.2">
      <c r="D60" s="27">
        <v>59</v>
      </c>
      <c r="E60" s="21">
        <f>ROUND(Deductible!D61*100,0)/100</f>
        <v>26332.7</v>
      </c>
      <c r="F60" s="22">
        <f>ROUND(Roth!D61*100,0)/100</f>
        <v>30327.77</v>
      </c>
      <c r="G60" s="21">
        <f>ROUND(Taxable!M61*100,0)/100</f>
        <v>9556.91</v>
      </c>
      <c r="H60" s="22">
        <f>ROUND(Annuity!D61*100,0)/100</f>
        <v>15340.35</v>
      </c>
      <c r="I60" s="13"/>
      <c r="J60" s="9">
        <f t="shared" si="8"/>
        <v>5.7002934638788014E-2</v>
      </c>
      <c r="K60" s="29">
        <f t="shared" si="9"/>
        <v>5.9536543855269755E-2</v>
      </c>
      <c r="L60" s="29">
        <f t="shared" si="10"/>
        <v>3.9000007715900266E-2</v>
      </c>
      <c r="M60" s="10">
        <f t="shared" si="11"/>
        <v>4.7367040135021694E-2</v>
      </c>
    </row>
    <row r="61" spans="4:13" x14ac:dyDescent="0.2">
      <c r="D61" s="27">
        <v>60</v>
      </c>
      <c r="E61" s="21">
        <f>ROUND(Deductible!D62*100,0)/100</f>
        <v>27912.66</v>
      </c>
      <c r="F61" s="22">
        <f>ROUND(Roth!D62*100,0)/100</f>
        <v>32147.439999999999</v>
      </c>
      <c r="G61" s="21">
        <f>ROUND(Taxable!M62*100,0)/100</f>
        <v>9929.6299999999992</v>
      </c>
      <c r="H61" s="22">
        <f>ROUND(Annuity!D62*100,0)/100</f>
        <v>16196.54</v>
      </c>
      <c r="I61" s="13"/>
      <c r="J61" s="9">
        <f t="shared" si="8"/>
        <v>5.7052814959758308E-2</v>
      </c>
      <c r="K61" s="29">
        <f t="shared" si="9"/>
        <v>5.9544268551037234E-2</v>
      </c>
      <c r="L61" s="29">
        <f t="shared" si="10"/>
        <v>3.9000008476710979E-2</v>
      </c>
      <c r="M61" s="10">
        <f t="shared" si="11"/>
        <v>4.7507249952962134E-2</v>
      </c>
    </row>
    <row r="62" spans="4:13" x14ac:dyDescent="0.2">
      <c r="D62" s="27">
        <v>61</v>
      </c>
      <c r="E62" s="21">
        <f>ROUND(Deductible!D63*100,0)/100</f>
        <v>29587.42</v>
      </c>
      <c r="F62" s="22">
        <f>ROUND(Roth!D63*100,0)/100</f>
        <v>34076.28</v>
      </c>
      <c r="G62" s="21">
        <f>ROUND(Taxable!M63*100,0)/100</f>
        <v>10316.879999999999</v>
      </c>
      <c r="H62" s="22">
        <f>ROUND(Annuity!D63*100,0)/100</f>
        <v>17101.97</v>
      </c>
      <c r="I62" s="13"/>
      <c r="J62" s="9">
        <f t="shared" si="8"/>
        <v>5.7101063575716447E-2</v>
      </c>
      <c r="K62" s="29">
        <f t="shared" si="9"/>
        <v>5.9551734716214437E-2</v>
      </c>
      <c r="L62" s="29">
        <f t="shared" si="10"/>
        <v>3.8999999141887801E-2</v>
      </c>
      <c r="M62" s="10">
        <f t="shared" si="11"/>
        <v>4.764434033042101E-2</v>
      </c>
    </row>
    <row r="63" spans="4:13" x14ac:dyDescent="0.2">
      <c r="D63" s="27">
        <v>62</v>
      </c>
      <c r="E63" s="21">
        <f>ROUND(Deductible!D64*100,0)/100</f>
        <v>31362.67</v>
      </c>
      <c r="F63" s="22">
        <f>ROUND(Roth!D64*100,0)/100</f>
        <v>36120.86</v>
      </c>
      <c r="G63" s="21">
        <f>ROUND(Taxable!M64*100,0)/100</f>
        <v>10719.24</v>
      </c>
      <c r="H63" s="22">
        <f>ROUND(Annuity!D64*100,0)/100</f>
        <v>18059.46</v>
      </c>
      <c r="I63" s="13"/>
      <c r="J63" s="9">
        <f t="shared" si="8"/>
        <v>5.7147760260649737E-2</v>
      </c>
      <c r="K63" s="29">
        <f t="shared" si="9"/>
        <v>5.9558964811077371E-2</v>
      </c>
      <c r="L63" s="29">
        <f t="shared" si="10"/>
        <v>3.9000001782181319E-2</v>
      </c>
      <c r="M63" s="10">
        <f t="shared" si="11"/>
        <v>4.777837687105331E-2</v>
      </c>
    </row>
    <row r="64" spans="4:13" x14ac:dyDescent="0.2">
      <c r="D64" s="27">
        <v>63</v>
      </c>
      <c r="E64" s="21">
        <f>ROUND(Deductible!D65*100,0)/100</f>
        <v>33244.43</v>
      </c>
      <c r="F64" s="22">
        <f>ROUND(Roth!D65*100,0)/100</f>
        <v>38288.11</v>
      </c>
      <c r="G64" s="21">
        <f>ROUND(Taxable!M65*100,0)/100</f>
        <v>11137.29</v>
      </c>
      <c r="H64" s="22">
        <f>ROUND(Annuity!D65*100,0)/100</f>
        <v>19072</v>
      </c>
      <c r="I64" s="13"/>
      <c r="J64" s="9">
        <f t="shared" si="8"/>
        <v>5.7192973807511545E-2</v>
      </c>
      <c r="K64" s="29">
        <f t="shared" si="9"/>
        <v>5.9565963233363287E-2</v>
      </c>
      <c r="L64" s="29">
        <f t="shared" si="10"/>
        <v>3.9000001220814186E-2</v>
      </c>
      <c r="M64" s="10">
        <f t="shared" si="11"/>
        <v>4.7909433079594339E-2</v>
      </c>
    </row>
    <row r="65" spans="4:13" x14ac:dyDescent="0.2">
      <c r="D65" s="27">
        <v>64</v>
      </c>
      <c r="E65" s="21">
        <f>ROUND(Deductible!D66*100,0)/100</f>
        <v>35239.089999999997</v>
      </c>
      <c r="F65" s="22">
        <f>ROUND(Roth!D66*100,0)/100</f>
        <v>40585.4</v>
      </c>
      <c r="G65" s="21">
        <f>ROUND(Taxable!M66*100,0)/100</f>
        <v>11571.64</v>
      </c>
      <c r="H65" s="22">
        <f>ROUND(Annuity!D66*100,0)/100</f>
        <v>20142.77</v>
      </c>
      <c r="I65" s="13"/>
      <c r="J65" s="9">
        <f t="shared" si="8"/>
        <v>5.7236773655554178E-2</v>
      </c>
      <c r="K65" s="29">
        <f t="shared" si="9"/>
        <v>5.9572745077822141E-2</v>
      </c>
      <c r="L65" s="29">
        <f t="shared" si="10"/>
        <v>3.8999995155071875E-2</v>
      </c>
      <c r="M65" s="10">
        <f t="shared" si="11"/>
        <v>4.8037596324170428E-2</v>
      </c>
    </row>
    <row r="66" spans="4:13" x14ac:dyDescent="0.2">
      <c r="D66" s="27">
        <v>65</v>
      </c>
      <c r="E66" s="21">
        <f>ROUND(Deductible!D67*100,0)/100</f>
        <v>37353.440000000002</v>
      </c>
      <c r="F66" s="22">
        <f>ROUND(Roth!D67*100,0)/100</f>
        <v>43020.52</v>
      </c>
      <c r="G66" s="21">
        <f>ROUND(Taxable!M67*100,0)/100</f>
        <v>12022.94</v>
      </c>
      <c r="H66" s="22">
        <f>ROUND(Annuity!D67*100,0)/100</f>
        <v>21275.1</v>
      </c>
      <c r="I66" s="13"/>
      <c r="J66" s="9">
        <f t="shared" si="8"/>
        <v>5.7279232228009409E-2</v>
      </c>
      <c r="K66" s="29">
        <f t="shared" si="9"/>
        <v>5.9579315410281726E-2</v>
      </c>
      <c r="L66" s="29">
        <f t="shared" si="10"/>
        <v>3.9000003259921992E-2</v>
      </c>
      <c r="M66" s="10">
        <f t="shared" si="11"/>
        <v>4.8162924930166634E-2</v>
      </c>
    </row>
    <row r="67" spans="4:13" x14ac:dyDescent="0.2">
      <c r="D67" s="27">
        <v>66</v>
      </c>
      <c r="E67" s="21">
        <f>ROUND(Deductible!D68*100,0)/100</f>
        <v>39594.639999999999</v>
      </c>
      <c r="F67" s="22">
        <f>ROUND(Roth!D68*100,0)/100</f>
        <v>45601.760000000002</v>
      </c>
      <c r="G67" s="21">
        <f>ROUND(Taxable!M68*100,0)/100</f>
        <v>12491.83</v>
      </c>
      <c r="H67" s="22">
        <f>ROUND(Annuity!D68*100,0)/100</f>
        <v>22472.55</v>
      </c>
      <c r="I67" s="13"/>
      <c r="J67" s="9">
        <f t="shared" si="8"/>
        <v>5.7320401243193535E-2</v>
      </c>
      <c r="K67" s="29">
        <f t="shared" si="9"/>
        <v>5.958569127146441E-2</v>
      </c>
      <c r="L67" s="29">
        <f t="shared" si="10"/>
        <v>3.8999997337809462E-2</v>
      </c>
      <c r="M67" s="10">
        <f t="shared" si="11"/>
        <v>4.8285506065557676E-2</v>
      </c>
    </row>
    <row r="68" spans="4:13" x14ac:dyDescent="0.2">
      <c r="D68" s="27">
        <v>67</v>
      </c>
      <c r="E68" s="21">
        <f>ROUND(Deductible!D69*100,0)/100</f>
        <v>41970.32</v>
      </c>
      <c r="F68" s="22">
        <f>ROUND(Roth!D69*100,0)/100</f>
        <v>48337.86</v>
      </c>
      <c r="G68" s="21">
        <f>ROUND(Taxable!M69*100,0)/100</f>
        <v>12979.01</v>
      </c>
      <c r="H68" s="22">
        <f>ROUND(Annuity!D69*100,0)/100</f>
        <v>23738.84</v>
      </c>
      <c r="I68" s="13"/>
      <c r="J68" s="9">
        <f t="shared" si="8"/>
        <v>5.7360346017066563E-2</v>
      </c>
      <c r="K68" s="29">
        <f t="shared" si="9"/>
        <v>5.9591871961071415E-2</v>
      </c>
      <c r="L68" s="29">
        <f t="shared" si="10"/>
        <v>3.8999995740653E-2</v>
      </c>
      <c r="M68" s="10">
        <f t="shared" si="11"/>
        <v>4.8405392701997854E-2</v>
      </c>
    </row>
    <row r="69" spans="4:13" x14ac:dyDescent="0.2">
      <c r="D69" s="27">
        <v>68</v>
      </c>
      <c r="E69" s="21">
        <f>ROUND(Deductible!D70*100,0)/100</f>
        <v>44488.54</v>
      </c>
      <c r="F69" s="22">
        <f>ROUND(Roth!D70*100,0)/100</f>
        <v>51238.13</v>
      </c>
      <c r="G69" s="21">
        <f>ROUND(Taxable!M70*100,0)/100</f>
        <v>13485.2</v>
      </c>
      <c r="H69" s="22">
        <f>ROUND(Annuity!D70*100,0)/100</f>
        <v>25077.95</v>
      </c>
      <c r="I69" s="13"/>
      <c r="J69" s="9">
        <f t="shared" si="8"/>
        <v>5.7399117074630954E-2</v>
      </c>
      <c r="K69" s="29">
        <f t="shared" si="9"/>
        <v>5.9597872218813318E-2</v>
      </c>
      <c r="L69" s="29">
        <f t="shared" si="10"/>
        <v>3.9000005558857756E-2</v>
      </c>
      <c r="M69" s="10">
        <f t="shared" si="11"/>
        <v>4.852266822167766E-2</v>
      </c>
    </row>
    <row r="70" spans="4:13" x14ac:dyDescent="0.2">
      <c r="D70" s="27">
        <v>69</v>
      </c>
      <c r="E70" s="21">
        <f>ROUND(Deductible!D71*100,0)/100</f>
        <v>47157.85</v>
      </c>
      <c r="F70" s="22">
        <f>ROUND(Roth!D71*100,0)/100</f>
        <v>54312.42</v>
      </c>
      <c r="G70" s="21">
        <f>ROUND(Taxable!M71*100,0)/100</f>
        <v>14011.12</v>
      </c>
      <c r="H70" s="22">
        <f>ROUND(Annuity!D71*100,0)/100</f>
        <v>26494.06</v>
      </c>
      <c r="I70" s="13"/>
      <c r="J70" s="9">
        <f t="shared" si="8"/>
        <v>5.7436764638337544E-2</v>
      </c>
      <c r="K70" s="29">
        <f t="shared" si="9"/>
        <v>5.9603699690131517E-2</v>
      </c>
      <c r="L70" s="29">
        <f t="shared" si="10"/>
        <v>3.9000002469090841E-2</v>
      </c>
      <c r="M70" s="10">
        <f t="shared" si="11"/>
        <v>4.863739491505481E-2</v>
      </c>
    </row>
    <row r="71" spans="4:13" x14ac:dyDescent="0.2">
      <c r="D71" s="27">
        <v>70</v>
      </c>
      <c r="E71" s="21">
        <f>ROUND(Deductible!D72*100,0)/100</f>
        <v>49987.33</v>
      </c>
      <c r="F71" s="22">
        <f>ROUND(Roth!D72*100,0)/100</f>
        <v>57571.17</v>
      </c>
      <c r="G71" s="21">
        <f>ROUND(Taxable!M72*100,0)/100</f>
        <v>14557.55</v>
      </c>
      <c r="H71" s="22">
        <f>ROUND(Annuity!D72*100,0)/100</f>
        <v>27991.59</v>
      </c>
      <c r="I71" s="13"/>
      <c r="J71" s="9">
        <f t="shared" si="8"/>
        <v>5.7473341329603196E-2</v>
      </c>
      <c r="K71" s="29">
        <f t="shared" si="9"/>
        <v>5.9609361341872912E-2</v>
      </c>
      <c r="L71" s="29">
        <f t="shared" si="10"/>
        <v>3.8999998681695951E-2</v>
      </c>
      <c r="M71" s="10">
        <f t="shared" si="11"/>
        <v>4.8749634315420384E-2</v>
      </c>
    </row>
    <row r="72" spans="4:13" x14ac:dyDescent="0.2">
      <c r="D72" s="27">
        <v>71</v>
      </c>
      <c r="E72" s="21">
        <f>ROUND(Deductible!D73*100,0)/100</f>
        <v>52986.57</v>
      </c>
      <c r="F72" s="22">
        <f>ROUND(Roth!D73*100,0)/100</f>
        <v>61025.440000000002</v>
      </c>
      <c r="G72" s="21">
        <f>ROUND(Taxable!M73*100,0)/100</f>
        <v>15125.3</v>
      </c>
      <c r="H72" s="22">
        <f>ROUND(Annuity!D73*100,0)/100</f>
        <v>29575.23</v>
      </c>
      <c r="I72" s="13"/>
      <c r="J72" s="9">
        <f t="shared" si="8"/>
        <v>5.7508886278298123E-2</v>
      </c>
      <c r="K72" s="29">
        <f t="shared" si="9"/>
        <v>5.9614862246238458E-2</v>
      </c>
      <c r="L72" s="29">
        <f t="shared" si="10"/>
        <v>3.9000004069917146E-2</v>
      </c>
      <c r="M72" s="10">
        <f t="shared" si="11"/>
        <v>4.8859455210040786E-2</v>
      </c>
    </row>
    <row r="73" spans="4:13" x14ac:dyDescent="0.2">
      <c r="D73" s="27">
        <v>72</v>
      </c>
      <c r="E73" s="21">
        <f>ROUND(Deductible!D74*100,0)/100</f>
        <v>56165.760000000002</v>
      </c>
      <c r="F73" s="22">
        <f>ROUND(Roth!D74*100,0)/100</f>
        <v>64686.96</v>
      </c>
      <c r="G73" s="21">
        <f>ROUND(Taxable!M74*100,0)/100</f>
        <v>15715.18</v>
      </c>
      <c r="H73" s="22">
        <f>ROUND(Annuity!D74*100,0)/100</f>
        <v>31249.93</v>
      </c>
      <c r="I73" s="13"/>
      <c r="J73" s="9">
        <f t="shared" si="8"/>
        <v>5.7543443858964677E-2</v>
      </c>
      <c r="K73" s="29">
        <f t="shared" si="9"/>
        <v>5.9620208967250163E-2</v>
      </c>
      <c r="L73" s="29">
        <f t="shared" si="10"/>
        <v>3.8999997861078044E-2</v>
      </c>
      <c r="M73" s="10">
        <f t="shared" si="11"/>
        <v>4.8966919408560475E-2</v>
      </c>
    </row>
    <row r="74" spans="4:13" x14ac:dyDescent="0.2">
      <c r="D74" s="27">
        <v>73</v>
      </c>
      <c r="E74" s="21">
        <f>ROUND(Deductible!D75*100,0)/100</f>
        <v>59535.7</v>
      </c>
      <c r="F74" s="22">
        <f>ROUND(Roth!D75*100,0)/100</f>
        <v>68568.179999999993</v>
      </c>
      <c r="G74" s="21">
        <f>ROUND(Taxable!M75*100,0)/100</f>
        <v>16328.07</v>
      </c>
      <c r="H74" s="22">
        <f>ROUND(Annuity!D75*100,0)/100</f>
        <v>33020.93</v>
      </c>
      <c r="I74" s="13"/>
      <c r="J74" s="9">
        <f t="shared" si="8"/>
        <v>5.7577055460544653E-2</v>
      </c>
      <c r="K74" s="29">
        <f t="shared" si="9"/>
        <v>5.9625411172825493E-2</v>
      </c>
      <c r="L74" s="29">
        <f t="shared" si="10"/>
        <v>3.8999996129582583E-2</v>
      </c>
      <c r="M74" s="10">
        <f t="shared" si="11"/>
        <v>4.9072089693892887E-2</v>
      </c>
    </row>
    <row r="75" spans="4:13" x14ac:dyDescent="0.2">
      <c r="D75" s="27">
        <v>74</v>
      </c>
      <c r="E75" s="21">
        <f>ROUND(Deductible!D76*100,0)/100</f>
        <v>63107.85</v>
      </c>
      <c r="F75" s="22">
        <f>ROUND(Roth!D76*100,0)/100</f>
        <v>72682.27</v>
      </c>
      <c r="G75" s="21">
        <f>ROUND(Taxable!M76*100,0)/100</f>
        <v>16964.87</v>
      </c>
      <c r="H75" s="22">
        <f>ROUND(Annuity!D76*100,0)/100</f>
        <v>34893.760000000002</v>
      </c>
      <c r="I75" s="13"/>
      <c r="J75" s="9">
        <f t="shared" si="8"/>
        <v>5.7609762821897413E-2</v>
      </c>
      <c r="K75" s="29">
        <f t="shared" si="9"/>
        <v>5.9630472143953887E-2</v>
      </c>
      <c r="L75" s="29">
        <f t="shared" si="10"/>
        <v>3.9000000543469471E-2</v>
      </c>
      <c r="M75" s="10">
        <f t="shared" si="11"/>
        <v>4.9175022388180348E-2</v>
      </c>
    </row>
    <row r="76" spans="4:13" x14ac:dyDescent="0.2">
      <c r="D76" s="27">
        <v>75</v>
      </c>
      <c r="E76" s="21">
        <f>ROUND(Deductible!D77*100,0)/100</f>
        <v>66894.320000000007</v>
      </c>
      <c r="F76" s="22">
        <f>ROUND(Roth!D77*100,0)/100</f>
        <v>77043.210000000006</v>
      </c>
      <c r="G76" s="21">
        <f>ROUND(Taxable!M77*100,0)/100</f>
        <v>17626.5</v>
      </c>
      <c r="H76" s="22">
        <f>ROUND(Annuity!D77*100,0)/100</f>
        <v>36874.269999999997</v>
      </c>
      <c r="I76" s="13"/>
      <c r="J76" s="9">
        <f t="shared" si="8"/>
        <v>5.7641596959893425E-2</v>
      </c>
      <c r="K76" s="29">
        <f t="shared" si="9"/>
        <v>5.9635399031434402E-2</v>
      </c>
      <c r="L76" s="29">
        <f t="shared" si="10"/>
        <v>3.9000000591246822E-2</v>
      </c>
      <c r="M76" s="10">
        <f t="shared" si="11"/>
        <v>4.9275773750609847E-2</v>
      </c>
    </row>
    <row r="77" spans="4:13" x14ac:dyDescent="0.2">
      <c r="D77" s="27">
        <v>76</v>
      </c>
      <c r="E77" s="21">
        <f>ROUND(Deductible!D78*100,0)/100</f>
        <v>70907.98</v>
      </c>
      <c r="F77" s="22">
        <f>ROUND(Roth!D78*100,0)/100</f>
        <v>81665.8</v>
      </c>
      <c r="G77" s="21">
        <f>ROUND(Taxable!M78*100,0)/100</f>
        <v>18313.93</v>
      </c>
      <c r="H77" s="22">
        <f>ROUND(Annuity!D78*100,0)/100</f>
        <v>38968.67</v>
      </c>
      <c r="I77" s="13"/>
      <c r="J77" s="9">
        <f t="shared" si="8"/>
        <v>5.767259464319778E-2</v>
      </c>
      <c r="K77" s="29">
        <f t="shared" si="9"/>
        <v>5.9640195154409034E-2</v>
      </c>
      <c r="L77" s="29">
        <f t="shared" si="10"/>
        <v>3.8999997970797992E-2</v>
      </c>
      <c r="M77" s="10">
        <f t="shared" si="11"/>
        <v>4.9374407343228184E-2</v>
      </c>
    </row>
    <row r="78" spans="4:13" x14ac:dyDescent="0.2">
      <c r="D78" s="27">
        <v>77</v>
      </c>
      <c r="E78" s="21">
        <f>ROUND(Deductible!D79*100,0)/100</f>
        <v>75162.460000000006</v>
      </c>
      <c r="F78" s="22">
        <f>ROUND(Roth!D79*100,0)/100</f>
        <v>86565.75</v>
      </c>
      <c r="G78" s="21">
        <f>ROUND(Taxable!M79*100,0)/100</f>
        <v>19028.18</v>
      </c>
      <c r="H78" s="22">
        <f>ROUND(Annuity!D79*100,0)/100</f>
        <v>41183.49</v>
      </c>
      <c r="I78" s="13"/>
      <c r="J78" s="9">
        <f t="shared" si="8"/>
        <v>5.770278812960121E-2</v>
      </c>
      <c r="K78" s="29">
        <f t="shared" si="9"/>
        <v>5.9644867479708284E-2</v>
      </c>
      <c r="L78" s="29">
        <f t="shared" si="10"/>
        <v>3.9000002769580877E-2</v>
      </c>
      <c r="M78" s="10">
        <f t="shared" si="11"/>
        <v>4.9470971591838817E-2</v>
      </c>
    </row>
    <row r="79" spans="4:13" x14ac:dyDescent="0.2">
      <c r="D79" s="27">
        <v>78</v>
      </c>
      <c r="E79" s="21">
        <f>ROUND(Deductible!D80*100,0)/100</f>
        <v>79672.2</v>
      </c>
      <c r="F79" s="22">
        <f>ROUND(Roth!D80*100,0)/100</f>
        <v>91759.69</v>
      </c>
      <c r="G79" s="21">
        <f>ROUND(Taxable!M80*100,0)/100</f>
        <v>19770.27</v>
      </c>
      <c r="H79" s="22">
        <f>ROUND(Annuity!D80*100,0)/100</f>
        <v>43525.67</v>
      </c>
      <c r="I79" s="13"/>
      <c r="J79" s="9">
        <f t="shared" si="8"/>
        <v>5.7732206743048173E-2</v>
      </c>
      <c r="K79" s="29">
        <f t="shared" si="9"/>
        <v>5.9649418967481931E-2</v>
      </c>
      <c r="L79" s="29">
        <f t="shared" si="10"/>
        <v>3.8999996656716017E-2</v>
      </c>
      <c r="M79" s="10">
        <f t="shared" si="11"/>
        <v>4.9565525522832922E-2</v>
      </c>
    </row>
    <row r="80" spans="4:13" x14ac:dyDescent="0.2">
      <c r="D80" s="27">
        <v>79</v>
      </c>
      <c r="E80" s="21">
        <f>ROUND(Deductible!D81*100,0)/100</f>
        <v>84452.53</v>
      </c>
      <c r="F80" s="22">
        <f>ROUND(Roth!D81*100,0)/100</f>
        <v>97265.27</v>
      </c>
      <c r="G80" s="21">
        <f>ROUND(Taxable!M81*100,0)/100</f>
        <v>20541.32</v>
      </c>
      <c r="H80" s="22">
        <f>ROUND(Annuity!D81*100,0)/100</f>
        <v>46002.52</v>
      </c>
      <c r="I80" s="13"/>
      <c r="J80" s="9">
        <f t="shared" si="8"/>
        <v>5.7760882329038588E-2</v>
      </c>
      <c r="K80" s="29">
        <f t="shared" si="9"/>
        <v>5.9653855784337448E-2</v>
      </c>
      <c r="L80" s="29">
        <f t="shared" si="10"/>
        <v>3.9000002762351854E-2</v>
      </c>
      <c r="M80" s="10">
        <f t="shared" si="11"/>
        <v>4.9658117299164438E-2</v>
      </c>
    </row>
    <row r="81" spans="4:13" x14ac:dyDescent="0.2">
      <c r="D81" s="27">
        <v>80</v>
      </c>
      <c r="E81" s="21">
        <f>ROUND(Deductible!D82*100,0)/100</f>
        <v>89519.69</v>
      </c>
      <c r="F81" s="22">
        <f>ROUND(Roth!D82*100,0)/100</f>
        <v>103101.19</v>
      </c>
      <c r="G81" s="21">
        <f>ROUND(Taxable!M82*100,0)/100</f>
        <v>21342.43</v>
      </c>
      <c r="H81" s="22">
        <f>ROUND(Annuity!D82*100,0)/100</f>
        <v>48621.79</v>
      </c>
      <c r="I81" s="13"/>
      <c r="J81" s="9">
        <f t="shared" si="8"/>
        <v>5.7788843298175997E-2</v>
      </c>
      <c r="K81" s="29">
        <f t="shared" si="9"/>
        <v>5.9658182377523468E-2</v>
      </c>
      <c r="L81" s="29">
        <f t="shared" si="10"/>
        <v>3.9000001827198767E-2</v>
      </c>
      <c r="M81" s="10">
        <f t="shared" si="11"/>
        <v>4.9748799844632909E-2</v>
      </c>
    </row>
    <row r="82" spans="4:13" x14ac:dyDescent="0.2">
      <c r="D82" s="27">
        <v>81</v>
      </c>
      <c r="E82" s="21">
        <f>ROUND(Deductible!D83*100,0)/100</f>
        <v>94890.87</v>
      </c>
      <c r="F82" s="22">
        <f>ROUND(Roth!D83*100,0)/100</f>
        <v>109287.26</v>
      </c>
      <c r="G82" s="21">
        <f>ROUND(Taxable!M83*100,0)/100</f>
        <v>22174.78</v>
      </c>
      <c r="H82" s="22">
        <f>ROUND(Annuity!D83*100,0)/100</f>
        <v>51391.67</v>
      </c>
      <c r="I82" s="13"/>
      <c r="J82" s="9">
        <f t="shared" si="8"/>
        <v>5.781611319606491E-2</v>
      </c>
      <c r="K82" s="29">
        <f t="shared" si="9"/>
        <v>5.9662401508505401E-2</v>
      </c>
      <c r="L82" s="29">
        <f t="shared" si="10"/>
        <v>3.899999904540042E-2</v>
      </c>
      <c r="M82" s="10">
        <f t="shared" si="11"/>
        <v>4.9837622918586497E-2</v>
      </c>
    </row>
    <row r="83" spans="4:13" x14ac:dyDescent="0.2">
      <c r="D83" s="27">
        <v>82</v>
      </c>
      <c r="E83" s="21">
        <f>ROUND(Deductible!D84*100,0)/100</f>
        <v>100584.32000000001</v>
      </c>
      <c r="F83" s="22">
        <f>ROUND(Roth!D84*100,0)/100</f>
        <v>115844.5</v>
      </c>
      <c r="G83" s="21">
        <f>ROUND(Taxable!M84*100,0)/100</f>
        <v>23039.599999999999</v>
      </c>
      <c r="H83" s="22">
        <f>ROUND(Annuity!D84*100,0)/100</f>
        <v>54320.81</v>
      </c>
      <c r="I83" s="13"/>
      <c r="J83" s="9">
        <f t="shared" si="8"/>
        <v>5.7842718560171327E-2</v>
      </c>
      <c r="K83" s="29">
        <f t="shared" si="9"/>
        <v>5.9666518406418373E-2</v>
      </c>
      <c r="L83" s="29">
        <f t="shared" si="10"/>
        <v>3.9000001025879125E-2</v>
      </c>
      <c r="M83" s="10">
        <f t="shared" si="11"/>
        <v>4.9924632333376275E-2</v>
      </c>
    </row>
    <row r="84" spans="4:13" x14ac:dyDescent="0.2">
      <c r="D84" s="27">
        <v>83</v>
      </c>
      <c r="E84" s="21">
        <f>ROUND(Deductible!D85*100,0)/100</f>
        <v>106619.38</v>
      </c>
      <c r="F84" s="22">
        <f>ROUND(Roth!D85*100,0)/100</f>
        <v>122795.17</v>
      </c>
      <c r="G84" s="21">
        <f>ROUND(Taxable!M85*100,0)/100</f>
        <v>23938.14</v>
      </c>
      <c r="H84" s="22">
        <f>ROUND(Annuity!D85*100,0)/100</f>
        <v>57418.38</v>
      </c>
      <c r="I84" s="13"/>
      <c r="J84" s="9">
        <f t="shared" si="8"/>
        <v>5.7868683850734508E-2</v>
      </c>
      <c r="K84" s="29">
        <f t="shared" si="9"/>
        <v>5.9670535632473348E-2</v>
      </c>
      <c r="L84" s="29">
        <f t="shared" si="10"/>
        <v>3.899999871260873E-2</v>
      </c>
      <c r="M84" s="10">
        <f t="shared" si="11"/>
        <v>5.0009878080431225E-2</v>
      </c>
    </row>
    <row r="85" spans="4:13" x14ac:dyDescent="0.2">
      <c r="D85" s="27">
        <v>84</v>
      </c>
      <c r="E85" s="21">
        <f>ROUND(Deductible!D86*100,0)/100</f>
        <v>113016.54</v>
      </c>
      <c r="F85" s="22">
        <f>ROUND(Roth!D86*100,0)/100</f>
        <v>130162.88</v>
      </c>
      <c r="G85" s="21">
        <f>ROUND(Taxable!M86*100,0)/100</f>
        <v>24871.73</v>
      </c>
      <c r="H85" s="22">
        <f>ROUND(Annuity!D86*100,0)/100</f>
        <v>60694.07</v>
      </c>
      <c r="I85" s="13"/>
      <c r="J85" s="9">
        <f t="shared" si="8"/>
        <v>5.7894031128329922E-2</v>
      </c>
      <c r="K85" s="29">
        <f t="shared" si="9"/>
        <v>5.9674457205595062E-2</v>
      </c>
      <c r="L85" s="29">
        <f t="shared" si="10"/>
        <v>3.8999999991111457E-2</v>
      </c>
      <c r="M85" s="10">
        <f t="shared" si="11"/>
        <v>5.0093406773005743E-2</v>
      </c>
    </row>
    <row r="86" spans="4:13" x14ac:dyDescent="0.2">
      <c r="D86" s="27">
        <v>85</v>
      </c>
      <c r="E86" s="21">
        <f>ROUND(Deductible!D87*100,0)/100</f>
        <v>119797.53</v>
      </c>
      <c r="F86" s="22">
        <f>ROUND(Roth!D87*100,0)/100</f>
        <v>137972.65</v>
      </c>
      <c r="G86" s="21">
        <f>ROUND(Taxable!M87*100,0)/100</f>
        <v>25841.73</v>
      </c>
      <c r="H86" s="22">
        <f>ROUND(Annuity!D87*100,0)/100</f>
        <v>64158.1</v>
      </c>
      <c r="I86" s="13"/>
      <c r="J86" s="9">
        <f t="shared" si="8"/>
        <v>5.7918782644475891E-2</v>
      </c>
      <c r="K86" s="29">
        <f t="shared" si="9"/>
        <v>5.9678286286568766E-2</v>
      </c>
      <c r="L86" s="29">
        <f t="shared" si="10"/>
        <v>3.9000001187945069E-2</v>
      </c>
      <c r="M86" s="10">
        <f t="shared" si="11"/>
        <v>5.0175258330843409E-2</v>
      </c>
    </row>
    <row r="87" spans="4:13" x14ac:dyDescent="0.2">
      <c r="D87" s="27">
        <v>86</v>
      </c>
      <c r="E87" s="21">
        <f>ROUND(Deductible!D88*100,0)/100</f>
        <v>126985.39</v>
      </c>
      <c r="F87" s="22">
        <f>ROUND(Roth!D88*100,0)/100</f>
        <v>146251.01</v>
      </c>
      <c r="G87" s="21">
        <f>ROUND(Taxable!M88*100,0)/100</f>
        <v>26849.55</v>
      </c>
      <c r="H87" s="22">
        <f>ROUND(Annuity!D88*100,0)/100</f>
        <v>67821.320000000007</v>
      </c>
      <c r="I87" s="13"/>
      <c r="J87" s="9">
        <f t="shared" si="8"/>
        <v>5.794296014385391E-2</v>
      </c>
      <c r="K87" s="29">
        <f t="shared" si="9"/>
        <v>5.9682026666815068E-2</v>
      </c>
      <c r="L87" s="29">
        <f t="shared" si="10"/>
        <v>3.8999997812885642E-2</v>
      </c>
      <c r="M87" s="10">
        <f t="shared" si="11"/>
        <v>5.0255479974561944E-2</v>
      </c>
    </row>
    <row r="88" spans="4:13" x14ac:dyDescent="0.2">
      <c r="D88" s="27">
        <v>87</v>
      </c>
      <c r="E88" s="21">
        <f>ROUND(Deductible!D89*100,0)/100</f>
        <v>134604.51</v>
      </c>
      <c r="F88" s="22">
        <f>ROUND(Roth!D89*100,0)/100</f>
        <v>155026.07</v>
      </c>
      <c r="G88" s="21">
        <f>ROUND(Taxable!M89*100,0)/100</f>
        <v>27896.69</v>
      </c>
      <c r="H88" s="22">
        <f>ROUND(Annuity!D89*100,0)/100</f>
        <v>71695.17</v>
      </c>
      <c r="I88" s="13"/>
      <c r="J88" s="9">
        <f t="shared" si="8"/>
        <v>5.7966581279865433E-2</v>
      </c>
      <c r="K88" s="29">
        <f t="shared" si="9"/>
        <v>5.968568094363446E-2</v>
      </c>
      <c r="L88" s="29">
        <f t="shared" si="10"/>
        <v>3.9000001070175698E-2</v>
      </c>
      <c r="M88" s="10">
        <f t="shared" si="11"/>
        <v>5.0334111232319921E-2</v>
      </c>
    </row>
    <row r="89" spans="4:13" x14ac:dyDescent="0.2">
      <c r="D89" s="27">
        <v>88</v>
      </c>
      <c r="E89" s="21">
        <f>ROUND(Deductible!D90*100,0)/100</f>
        <v>142680.78</v>
      </c>
      <c r="F89" s="22">
        <f>ROUND(Roth!D90*100,0)/100</f>
        <v>164327.63</v>
      </c>
      <c r="G89" s="21">
        <f>ROUND(Taxable!M90*100,0)/100</f>
        <v>28984.66</v>
      </c>
      <c r="H89" s="22">
        <f>ROUND(Annuity!D90*100,0)/100</f>
        <v>75791.759999999995</v>
      </c>
      <c r="I89" s="13"/>
      <c r="J89" s="9">
        <f t="shared" si="8"/>
        <v>5.7989666334556531E-2</v>
      </c>
      <c r="K89" s="29">
        <f t="shared" si="9"/>
        <v>5.968925191971327E-2</v>
      </c>
      <c r="L89" s="29">
        <f t="shared" si="10"/>
        <v>3.900000068735044E-2</v>
      </c>
      <c r="M89" s="10">
        <f t="shared" si="11"/>
        <v>5.0411192871940229E-2</v>
      </c>
    </row>
    <row r="90" spans="4:13" x14ac:dyDescent="0.2">
      <c r="D90" s="27">
        <v>89</v>
      </c>
      <c r="E90" s="21">
        <f>ROUND(Deductible!D91*100,0)/100</f>
        <v>151241.63</v>
      </c>
      <c r="F90" s="22">
        <f>ROUND(Roth!D91*100,0)/100</f>
        <v>174187.29</v>
      </c>
      <c r="G90" s="21">
        <f>ROUND(Taxable!M91*100,0)/100</f>
        <v>30115.06</v>
      </c>
      <c r="H90" s="22">
        <f>ROUND(Annuity!D91*100,0)/100</f>
        <v>80123.91</v>
      </c>
      <c r="I90" s="13"/>
      <c r="J90" s="9">
        <f t="shared" si="8"/>
        <v>5.8012233412356708E-2</v>
      </c>
      <c r="K90" s="29">
        <f t="shared" si="9"/>
        <v>5.9692743115470653E-2</v>
      </c>
      <c r="L90" s="29">
        <f t="shared" si="10"/>
        <v>3.9000000005081491E-2</v>
      </c>
      <c r="M90" s="10">
        <f t="shared" si="11"/>
        <v>5.048676656239167E-2</v>
      </c>
    </row>
    <row r="91" spans="4:13" x14ac:dyDescent="0.2">
      <c r="D91" s="27">
        <v>90</v>
      </c>
      <c r="E91" s="21">
        <f>ROUND(Deductible!D92*100,0)/100</f>
        <v>160316.12</v>
      </c>
      <c r="F91" s="22">
        <f>ROUND(Roth!D92*100,0)/100</f>
        <v>184638.53</v>
      </c>
      <c r="G91" s="21">
        <f>ROUND(Taxable!M92*100,0)/100</f>
        <v>31289.55</v>
      </c>
      <c r="H91" s="22">
        <f>ROUND(Annuity!D92*100,0)/100</f>
        <v>84705.17</v>
      </c>
      <c r="I91" s="13"/>
      <c r="J91" s="9">
        <f t="shared" si="8"/>
        <v>5.8034298644266187E-2</v>
      </c>
      <c r="K91" s="29">
        <f t="shared" si="9"/>
        <v>5.9696156757311762E-2</v>
      </c>
      <c r="L91" s="29">
        <f t="shared" si="10"/>
        <v>3.900000098644605E-2</v>
      </c>
      <c r="M91" s="10">
        <f t="shared" si="11"/>
        <v>5.0560871486084381E-2</v>
      </c>
    </row>
    <row r="92" spans="4:13" x14ac:dyDescent="0.2">
      <c r="D92" s="27">
        <v>91</v>
      </c>
      <c r="E92" s="21">
        <f>ROUND(Deductible!D93*100,0)/100</f>
        <v>169935.09</v>
      </c>
      <c r="F92" s="22">
        <f>ROUND(Roth!D93*100,0)/100</f>
        <v>195716.84</v>
      </c>
      <c r="G92" s="21">
        <f>ROUND(Taxable!M93*100,0)/100</f>
        <v>32509.84</v>
      </c>
      <c r="H92" s="22">
        <f>ROUND(Annuity!D93*100,0)/100</f>
        <v>89549.84</v>
      </c>
      <c r="I92" s="13"/>
      <c r="J92" s="9">
        <f t="shared" si="8"/>
        <v>5.8055880128418544E-2</v>
      </c>
      <c r="K92" s="29">
        <f t="shared" si="9"/>
        <v>5.9699495113614713E-2</v>
      </c>
      <c r="L92" s="29">
        <f t="shared" si="10"/>
        <v>3.9000000115156405E-2</v>
      </c>
      <c r="M92" s="10">
        <f t="shared" si="11"/>
        <v>5.0633541850878587E-2</v>
      </c>
    </row>
    <row r="93" spans="4:13" x14ac:dyDescent="0.2">
      <c r="D93" s="27">
        <v>92</v>
      </c>
      <c r="E93" s="21">
        <f>ROUND(Deductible!D94*100,0)/100</f>
        <v>180131.20000000001</v>
      </c>
      <c r="F93" s="22">
        <f>ROUND(Roth!D94*100,0)/100</f>
        <v>207459.85</v>
      </c>
      <c r="G93" s="21">
        <f>ROUND(Taxable!M94*100,0)/100</f>
        <v>33777.72</v>
      </c>
      <c r="H93" s="22">
        <f>ROUND(Annuity!D94*100,0)/100</f>
        <v>94673.08</v>
      </c>
      <c r="I93" s="13"/>
      <c r="J93" s="9">
        <f t="shared" si="8"/>
        <v>5.8076992980025124E-2</v>
      </c>
      <c r="K93" s="29">
        <f t="shared" si="9"/>
        <v>5.9702760990857529E-2</v>
      </c>
      <c r="L93" s="29">
        <f t="shared" si="10"/>
        <v>3.8999998856760316E-2</v>
      </c>
      <c r="M93" s="10">
        <f t="shared" si="11"/>
        <v>5.0704816010054117E-2</v>
      </c>
    </row>
    <row r="94" spans="4:13" x14ac:dyDescent="0.2">
      <c r="D94" s="27">
        <v>93</v>
      </c>
      <c r="E94" s="21">
        <f>ROUND(Deductible!D95*100,0)/100</f>
        <v>190939.07</v>
      </c>
      <c r="F94" s="22">
        <f>ROUND(Roth!D95*100,0)/100</f>
        <v>219907.44</v>
      </c>
      <c r="G94" s="21">
        <f>ROUND(Taxable!M95*100,0)/100</f>
        <v>35095.050000000003</v>
      </c>
      <c r="H94" s="22">
        <f>ROUND(Annuity!D95*100,0)/100</f>
        <v>100090.9</v>
      </c>
      <c r="I94" s="13"/>
      <c r="J94" s="9">
        <f t="shared" si="8"/>
        <v>5.8097651789901179E-2</v>
      </c>
      <c r="K94" s="29">
        <f t="shared" si="9"/>
        <v>5.9705956614078362E-2</v>
      </c>
      <c r="L94" s="29">
        <f t="shared" si="10"/>
        <v>3.8999998525249345E-2</v>
      </c>
      <c r="M94" s="10">
        <f t="shared" si="11"/>
        <v>5.0774728473258243E-2</v>
      </c>
    </row>
    <row r="95" spans="4:13" x14ac:dyDescent="0.2">
      <c r="D95" s="27">
        <v>94</v>
      </c>
      <c r="E95" s="21">
        <f>ROUND(Deductible!D96*100,0)/100</f>
        <v>202395.41</v>
      </c>
      <c r="F95" s="22">
        <f>ROUND(Roth!D96*100,0)/100</f>
        <v>233101.89</v>
      </c>
      <c r="G95" s="21">
        <f>ROUND(Taxable!M96*100,0)/100</f>
        <v>36463.760000000002</v>
      </c>
      <c r="H95" s="22">
        <f>ROUND(Annuity!D96*100,0)/100</f>
        <v>105820.26</v>
      </c>
      <c r="I95" s="13"/>
      <c r="J95" s="9">
        <f t="shared" si="8"/>
        <v>5.8117871325526503E-2</v>
      </c>
      <c r="K95" s="29">
        <f t="shared" si="9"/>
        <v>5.9709084480019478E-2</v>
      </c>
      <c r="L95" s="29">
        <f t="shared" si="10"/>
        <v>3.8999999465479149E-2</v>
      </c>
      <c r="M95" s="10">
        <f t="shared" si="11"/>
        <v>5.0843316037230246E-2</v>
      </c>
    </row>
    <row r="96" spans="4:13" x14ac:dyDescent="0.2">
      <c r="D96" s="27">
        <v>95</v>
      </c>
      <c r="E96" s="21">
        <f>ROUND(Deductible!D97*100,0)/100</f>
        <v>214539.14</v>
      </c>
      <c r="F96" s="22">
        <f>ROUND(Roth!D97*100,0)/100</f>
        <v>247088</v>
      </c>
      <c r="G96" s="21">
        <f>ROUND(Taxable!M97*100,0)/100</f>
        <v>37885.85</v>
      </c>
      <c r="H96" s="22">
        <f>ROUND(Annuity!D97*100,0)/100</f>
        <v>111879.05</v>
      </c>
      <c r="I96" s="13"/>
      <c r="J96" s="9">
        <f t="shared" si="8"/>
        <v>5.8137666072472768E-2</v>
      </c>
      <c r="K96" s="29">
        <f t="shared" si="9"/>
        <v>5.971214617932144E-2</v>
      </c>
      <c r="L96" s="29">
        <f t="shared" si="10"/>
        <v>3.9000000441066544E-2</v>
      </c>
      <c r="M96" s="10">
        <f t="shared" si="11"/>
        <v>5.0910609581131333E-2</v>
      </c>
    </row>
    <row r="97" spans="4:13" x14ac:dyDescent="0.2">
      <c r="D97" s="27">
        <v>96</v>
      </c>
      <c r="E97" s="21">
        <f>ROUND(Deductible!D98*100,0)/100</f>
        <v>227411.49</v>
      </c>
      <c r="F97" s="22">
        <f>ROUND(Roth!D98*100,0)/100</f>
        <v>261913.28</v>
      </c>
      <c r="G97" s="21">
        <f>ROUND(Taxable!M98*100,0)/100</f>
        <v>39363.4</v>
      </c>
      <c r="H97" s="22">
        <f>ROUND(Annuity!D98*100,0)/100</f>
        <v>118286.22</v>
      </c>
      <c r="I97" s="13"/>
      <c r="J97" s="9">
        <f t="shared" si="8"/>
        <v>5.8157048587788543E-2</v>
      </c>
      <c r="K97" s="29">
        <f t="shared" si="9"/>
        <v>5.9715144253690691E-2</v>
      </c>
      <c r="L97" s="29">
        <f t="shared" si="10"/>
        <v>3.9000000945127546E-2</v>
      </c>
      <c r="M97" s="10">
        <f t="shared" si="11"/>
        <v>5.0976642428084099E-2</v>
      </c>
    </row>
    <row r="98" spans="4:13" x14ac:dyDescent="0.2">
      <c r="D98" s="27">
        <v>97</v>
      </c>
      <c r="E98" s="21">
        <f>ROUND(Deductible!D99*100,0)/100</f>
        <v>241056.18</v>
      </c>
      <c r="F98" s="22">
        <f>ROUND(Roth!D99*100,0)/100</f>
        <v>277628.08</v>
      </c>
      <c r="G98" s="21">
        <f>ROUND(Taxable!M99*100,0)/100</f>
        <v>40898.57</v>
      </c>
      <c r="H98" s="22">
        <f>ROUND(Annuity!D99*100,0)/100</f>
        <v>125061.8</v>
      </c>
      <c r="I98" s="13"/>
      <c r="J98" s="9">
        <f t="shared" si="8"/>
        <v>5.817603175814922E-2</v>
      </c>
      <c r="K98" s="29">
        <f t="shared" si="9"/>
        <v>5.9718080646238195E-2</v>
      </c>
      <c r="L98" s="29">
        <f t="shared" si="10"/>
        <v>3.900000025444423E-2</v>
      </c>
      <c r="M98" s="10">
        <f t="shared" si="11"/>
        <v>5.1041445987265878E-2</v>
      </c>
    </row>
    <row r="99" spans="4:13" x14ac:dyDescent="0.2">
      <c r="D99" s="27">
        <v>98</v>
      </c>
      <c r="E99" s="21">
        <f>ROUND(Deductible!D100*100,0)/100</f>
        <v>255519.55</v>
      </c>
      <c r="F99" s="22">
        <f>ROUND(Roth!D100*100,0)/100</f>
        <v>294285.76</v>
      </c>
      <c r="G99" s="21">
        <f>ROUND(Taxable!M100*100,0)/100</f>
        <v>42493.61</v>
      </c>
      <c r="H99" s="22">
        <f>ROUND(Annuity!D100*100,0)/100</f>
        <v>132226.98000000001</v>
      </c>
      <c r="I99" s="13"/>
      <c r="J99" s="9">
        <f t="shared" si="8"/>
        <v>5.8194627786387405E-2</v>
      </c>
      <c r="K99" s="29">
        <f t="shared" si="9"/>
        <v>5.9720956819282654E-2</v>
      </c>
      <c r="L99" s="29">
        <f t="shared" si="10"/>
        <v>3.8999999196476488E-2</v>
      </c>
      <c r="M99" s="10">
        <f t="shared" si="11"/>
        <v>5.1105051473168725E-2</v>
      </c>
    </row>
    <row r="100" spans="4:13" x14ac:dyDescent="0.2">
      <c r="D100" s="27">
        <v>99</v>
      </c>
      <c r="E100" s="21">
        <f>ROUND(Deductible!D101*100,0)/100</f>
        <v>270850.71999999997</v>
      </c>
      <c r="F100" s="22">
        <f>ROUND(Roth!D101*100,0)/100</f>
        <v>311942.90999999997</v>
      </c>
      <c r="G100" s="21">
        <f>ROUND(Taxable!M101*100,0)/100</f>
        <v>44150.86</v>
      </c>
      <c r="H100" s="22">
        <f>ROUND(Annuity!D101*100,0)/100</f>
        <v>139804.15</v>
      </c>
      <c r="I100" s="13"/>
      <c r="J100" s="9">
        <f t="shared" si="8"/>
        <v>5.8212848369323437E-2</v>
      </c>
      <c r="K100" s="29">
        <f t="shared" si="9"/>
        <v>5.9723775220971824E-2</v>
      </c>
      <c r="L100" s="29">
        <f t="shared" si="10"/>
        <v>3.8999999016811289E-2</v>
      </c>
      <c r="M100" s="10">
        <f t="shared" si="11"/>
        <v>5.1167487720861798E-2</v>
      </c>
    </row>
    <row r="101" spans="4:13" ht="13.5" thickBot="1" x14ac:dyDescent="0.25">
      <c r="D101" s="28">
        <v>100</v>
      </c>
      <c r="E101" s="23">
        <f>ROUND(Deductible!D102*100,0)/100</f>
        <v>287101.76</v>
      </c>
      <c r="F101" s="24">
        <f>ROUND(Roth!D102*100,0)/100</f>
        <v>330659.48</v>
      </c>
      <c r="G101" s="23">
        <f>ROUND(Taxable!M102*100,0)/100</f>
        <v>45872.75</v>
      </c>
      <c r="H101" s="24">
        <f>ROUND(Annuity!D102*100,0)/100</f>
        <v>147817.01999999999</v>
      </c>
      <c r="I101" s="13"/>
      <c r="J101" s="11">
        <f t="shared" si="8"/>
        <v>5.8230704844246597E-2</v>
      </c>
      <c r="K101" s="31">
        <f t="shared" si="9"/>
        <v>5.9726536964998807E-2</v>
      </c>
      <c r="L101" s="31">
        <f t="shared" si="10"/>
        <v>3.9000000489798826E-2</v>
      </c>
      <c r="M101" s="12">
        <f t="shared" si="11"/>
        <v>5.122878522163006E-2</v>
      </c>
    </row>
    <row r="104" spans="4:13" x14ac:dyDescent="0.2">
      <c r="E104" s="33"/>
    </row>
  </sheetData>
  <mergeCells count="2">
    <mergeCell ref="A1:B6"/>
    <mergeCell ref="A23:B23"/>
  </mergeCells>
  <phoneticPr fontId="0" type="noConversion"/>
  <conditionalFormatting sqref="E2:E101">
    <cfRule type="cellIs" dxfId="3" priority="1" stopIfTrue="1" operator="greaterThan">
      <formula>$F2</formula>
    </cfRule>
  </conditionalFormatting>
  <conditionalFormatting sqref="F2:F101">
    <cfRule type="cellIs" dxfId="2" priority="2" stopIfTrue="1" operator="greaterThan">
      <formula>$E2</formula>
    </cfRule>
  </conditionalFormatting>
  <conditionalFormatting sqref="G2:G101">
    <cfRule type="cellIs" dxfId="1" priority="3" stopIfTrue="1" operator="greaterThan">
      <formula>$H2</formula>
    </cfRule>
  </conditionalFormatting>
  <conditionalFormatting sqref="H2:H101">
    <cfRule type="cellIs" dxfId="0" priority="4" stopIfTrue="1" operator="greaterThan">
      <formula>$G2</formula>
    </cfRule>
  </conditionalFormatting>
  <dataValidations count="1">
    <dataValidation type="list" allowBlank="1" showInputMessage="1" showErrorMessage="1" sqref="B9 B11" xr:uid="{00000000-0002-0000-0000-000000000000}">
      <formula1>$A$19:$A$20</formula1>
    </dataValidation>
  </dataValidations>
  <printOptions horizontalCentered="1" verticalCentered="1"/>
  <pageMargins left="0.25" right="0.25" top="0.5" bottom="0.5" header="0.5" footer="0.5"/>
  <pageSetup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3"/>
  <sheetViews>
    <sheetView workbookViewId="0"/>
  </sheetViews>
  <sheetFormatPr defaultRowHeight="12.75" x14ac:dyDescent="0.2"/>
  <cols>
    <col min="1" max="1" width="7" bestFit="1" customWidth="1"/>
    <col min="2" max="3" width="15.42578125" bestFit="1" customWidth="1"/>
    <col min="4" max="4" width="14.42578125" bestFit="1" customWidth="1"/>
  </cols>
  <sheetData>
    <row r="1" spans="1:4" x14ac:dyDescent="0.2">
      <c r="A1" s="3"/>
      <c r="B1" s="4" t="s">
        <v>9</v>
      </c>
      <c r="C1" s="4" t="s">
        <v>17</v>
      </c>
      <c r="D1" s="4" t="s">
        <v>6</v>
      </c>
    </row>
    <row r="2" spans="1:4" x14ac:dyDescent="0.2">
      <c r="A2" s="3" t="s">
        <v>8</v>
      </c>
      <c r="B2" s="4" t="s">
        <v>7</v>
      </c>
      <c r="C2" s="4" t="s">
        <v>7</v>
      </c>
      <c r="D2" s="4" t="s">
        <v>7</v>
      </c>
    </row>
    <row r="3" spans="1:4" x14ac:dyDescent="0.2">
      <c r="A3" s="1">
        <v>1</v>
      </c>
      <c r="B3" s="2">
        <f>InitInv/(1-OIRate)</f>
        <v>1538.4615384615383</v>
      </c>
      <c r="C3" s="2">
        <f>B3*(1+TotalReturn)</f>
        <v>1630.7692307692307</v>
      </c>
      <c r="D3" s="2">
        <f t="shared" ref="D3:D34" si="0">C3*(1-OIRate-Penalty)</f>
        <v>896.92307692307702</v>
      </c>
    </row>
    <row r="4" spans="1:4" x14ac:dyDescent="0.2">
      <c r="A4" s="1">
        <v>2</v>
      </c>
      <c r="B4" s="2">
        <f t="shared" ref="B4:B32" si="1">C3</f>
        <v>1630.7692307692307</v>
      </c>
      <c r="C4" s="2">
        <f t="shared" ref="C4:C67" si="2">B4*(1+TotalReturn)</f>
        <v>1728.6153846153848</v>
      </c>
      <c r="D4" s="2">
        <f t="shared" si="0"/>
        <v>950.73846153846171</v>
      </c>
    </row>
    <row r="5" spans="1:4" x14ac:dyDescent="0.2">
      <c r="A5" s="1">
        <v>3</v>
      </c>
      <c r="B5" s="2">
        <f t="shared" si="1"/>
        <v>1728.6153846153848</v>
      </c>
      <c r="C5" s="2">
        <f t="shared" si="2"/>
        <v>1832.3323076923079</v>
      </c>
      <c r="D5" s="2">
        <f t="shared" si="0"/>
        <v>1007.7827692307694</v>
      </c>
    </row>
    <row r="6" spans="1:4" x14ac:dyDescent="0.2">
      <c r="A6" s="1">
        <v>4</v>
      </c>
      <c r="B6" s="2">
        <f t="shared" si="1"/>
        <v>1832.3323076923079</v>
      </c>
      <c r="C6" s="2">
        <f t="shared" si="2"/>
        <v>1942.2722461538465</v>
      </c>
      <c r="D6" s="2">
        <f t="shared" si="0"/>
        <v>1068.2497353846156</v>
      </c>
    </row>
    <row r="7" spans="1:4" x14ac:dyDescent="0.2">
      <c r="A7" s="1">
        <v>5</v>
      </c>
      <c r="B7" s="2">
        <f t="shared" si="1"/>
        <v>1942.2722461538465</v>
      </c>
      <c r="C7" s="2">
        <f t="shared" si="2"/>
        <v>2058.8085809230774</v>
      </c>
      <c r="D7" s="2">
        <f t="shared" si="0"/>
        <v>1132.3447195076926</v>
      </c>
    </row>
    <row r="8" spans="1:4" x14ac:dyDescent="0.2">
      <c r="A8" s="1">
        <v>6</v>
      </c>
      <c r="B8" s="2">
        <f t="shared" si="1"/>
        <v>2058.8085809230774</v>
      </c>
      <c r="C8" s="2">
        <f t="shared" si="2"/>
        <v>2182.3370957784623</v>
      </c>
      <c r="D8" s="2">
        <f t="shared" si="0"/>
        <v>1200.2854026781545</v>
      </c>
    </row>
    <row r="9" spans="1:4" x14ac:dyDescent="0.2">
      <c r="A9" s="1">
        <v>7</v>
      </c>
      <c r="B9" s="2">
        <f t="shared" si="1"/>
        <v>2182.3370957784623</v>
      </c>
      <c r="C9" s="2">
        <f t="shared" si="2"/>
        <v>2313.27732152517</v>
      </c>
      <c r="D9" s="2">
        <f t="shared" si="0"/>
        <v>1272.3025268388435</v>
      </c>
    </row>
    <row r="10" spans="1:4" x14ac:dyDescent="0.2">
      <c r="A10" s="1">
        <v>8</v>
      </c>
      <c r="B10" s="2">
        <f t="shared" si="1"/>
        <v>2313.27732152517</v>
      </c>
      <c r="C10" s="2">
        <f t="shared" si="2"/>
        <v>2452.0739608166805</v>
      </c>
      <c r="D10" s="2">
        <f t="shared" si="0"/>
        <v>1348.6406784491744</v>
      </c>
    </row>
    <row r="11" spans="1:4" x14ac:dyDescent="0.2">
      <c r="A11" s="1">
        <v>9</v>
      </c>
      <c r="B11" s="2">
        <f t="shared" si="1"/>
        <v>2452.0739608166805</v>
      </c>
      <c r="C11" s="2">
        <f t="shared" si="2"/>
        <v>2599.1983984656813</v>
      </c>
      <c r="D11" s="2">
        <f t="shared" si="0"/>
        <v>1429.5591191561248</v>
      </c>
    </row>
    <row r="12" spans="1:4" x14ac:dyDescent="0.2">
      <c r="A12" s="1">
        <v>10</v>
      </c>
      <c r="B12" s="2">
        <f t="shared" si="1"/>
        <v>2599.1983984656813</v>
      </c>
      <c r="C12" s="2">
        <f t="shared" si="2"/>
        <v>2755.1503023736223</v>
      </c>
      <c r="D12" s="2">
        <f t="shared" si="0"/>
        <v>1515.3326663054925</v>
      </c>
    </row>
    <row r="13" spans="1:4" x14ac:dyDescent="0.2">
      <c r="A13" s="1">
        <v>11</v>
      </c>
      <c r="B13" s="2">
        <f t="shared" si="1"/>
        <v>2755.1503023736223</v>
      </c>
      <c r="C13" s="2">
        <f t="shared" si="2"/>
        <v>2920.45932051604</v>
      </c>
      <c r="D13" s="2">
        <f t="shared" si="0"/>
        <v>1606.2526262838221</v>
      </c>
    </row>
    <row r="14" spans="1:4" x14ac:dyDescent="0.2">
      <c r="A14" s="1">
        <v>12</v>
      </c>
      <c r="B14" s="2">
        <f t="shared" si="1"/>
        <v>2920.45932051604</v>
      </c>
      <c r="C14" s="2">
        <f t="shared" si="2"/>
        <v>3095.6868797470024</v>
      </c>
      <c r="D14" s="2">
        <f t="shared" si="0"/>
        <v>1702.6277838608514</v>
      </c>
    </row>
    <row r="15" spans="1:4" x14ac:dyDescent="0.2">
      <c r="A15" s="1">
        <v>13</v>
      </c>
      <c r="B15" s="2">
        <f t="shared" si="1"/>
        <v>3095.6868797470024</v>
      </c>
      <c r="C15" s="2">
        <f t="shared" si="2"/>
        <v>3281.4280925318226</v>
      </c>
      <c r="D15" s="2">
        <f t="shared" si="0"/>
        <v>1804.7854508925025</v>
      </c>
    </row>
    <row r="16" spans="1:4" x14ac:dyDescent="0.2">
      <c r="A16" s="1">
        <v>14</v>
      </c>
      <c r="B16" s="2">
        <f t="shared" si="1"/>
        <v>3281.4280925318226</v>
      </c>
      <c r="C16" s="2">
        <f t="shared" si="2"/>
        <v>3478.3137780837319</v>
      </c>
      <c r="D16" s="2">
        <f t="shared" si="0"/>
        <v>1913.0725779460527</v>
      </c>
    </row>
    <row r="17" spans="1:4" x14ac:dyDescent="0.2">
      <c r="A17" s="1">
        <v>15</v>
      </c>
      <c r="B17" s="2">
        <f t="shared" si="1"/>
        <v>3478.3137780837319</v>
      </c>
      <c r="C17" s="2">
        <f t="shared" si="2"/>
        <v>3687.0126047687559</v>
      </c>
      <c r="D17" s="2">
        <f t="shared" si="0"/>
        <v>2027.856932622816</v>
      </c>
    </row>
    <row r="18" spans="1:4" x14ac:dyDescent="0.2">
      <c r="A18" s="1">
        <v>16</v>
      </c>
      <c r="B18" s="2">
        <f t="shared" si="1"/>
        <v>3687.0126047687559</v>
      </c>
      <c r="C18" s="2">
        <f t="shared" si="2"/>
        <v>3908.2333610548812</v>
      </c>
      <c r="D18" s="2">
        <f t="shared" si="0"/>
        <v>2149.5283485801847</v>
      </c>
    </row>
    <row r="19" spans="1:4" x14ac:dyDescent="0.2">
      <c r="A19" s="1">
        <v>17</v>
      </c>
      <c r="B19" s="2">
        <f t="shared" si="1"/>
        <v>3908.2333610548812</v>
      </c>
      <c r="C19" s="2">
        <f t="shared" si="2"/>
        <v>4142.7273627181739</v>
      </c>
      <c r="D19" s="2">
        <f t="shared" si="0"/>
        <v>2278.5000494949959</v>
      </c>
    </row>
    <row r="20" spans="1:4" x14ac:dyDescent="0.2">
      <c r="A20" s="1">
        <v>18</v>
      </c>
      <c r="B20" s="2">
        <f t="shared" si="1"/>
        <v>4142.7273627181739</v>
      </c>
      <c r="C20" s="2">
        <f t="shared" si="2"/>
        <v>4391.2910044812643</v>
      </c>
      <c r="D20" s="2">
        <f t="shared" si="0"/>
        <v>2415.2100524646958</v>
      </c>
    </row>
    <row r="21" spans="1:4" x14ac:dyDescent="0.2">
      <c r="A21" s="1">
        <v>19</v>
      </c>
      <c r="B21" s="2">
        <f t="shared" si="1"/>
        <v>4391.2910044812643</v>
      </c>
      <c r="C21" s="2">
        <f t="shared" si="2"/>
        <v>4654.7684647501401</v>
      </c>
      <c r="D21" s="2">
        <f t="shared" si="0"/>
        <v>2560.1226556125771</v>
      </c>
    </row>
    <row r="22" spans="1:4" x14ac:dyDescent="0.2">
      <c r="A22" s="1">
        <v>20</v>
      </c>
      <c r="B22" s="2">
        <f t="shared" si="1"/>
        <v>4654.7684647501401</v>
      </c>
      <c r="C22" s="2">
        <f t="shared" si="2"/>
        <v>4934.0545726351484</v>
      </c>
      <c r="D22" s="2">
        <f t="shared" si="0"/>
        <v>2713.7300149493317</v>
      </c>
    </row>
    <row r="23" spans="1:4" x14ac:dyDescent="0.2">
      <c r="A23" s="1">
        <v>21</v>
      </c>
      <c r="B23" s="2">
        <f t="shared" si="1"/>
        <v>4934.0545726351484</v>
      </c>
      <c r="C23" s="2">
        <f t="shared" si="2"/>
        <v>5230.0978469932579</v>
      </c>
      <c r="D23" s="2">
        <f t="shared" si="0"/>
        <v>2876.5538158462923</v>
      </c>
    </row>
    <row r="24" spans="1:4" x14ac:dyDescent="0.2">
      <c r="A24" s="1">
        <v>22</v>
      </c>
      <c r="B24" s="2">
        <f t="shared" si="1"/>
        <v>5230.0978469932579</v>
      </c>
      <c r="C24" s="2">
        <f t="shared" si="2"/>
        <v>5543.9037178128538</v>
      </c>
      <c r="D24" s="2">
        <f t="shared" si="0"/>
        <v>3049.1470447970696</v>
      </c>
    </row>
    <row r="25" spans="1:4" x14ac:dyDescent="0.2">
      <c r="A25" s="1">
        <v>23</v>
      </c>
      <c r="B25" s="2">
        <f t="shared" si="1"/>
        <v>5543.9037178128538</v>
      </c>
      <c r="C25" s="2">
        <f t="shared" si="2"/>
        <v>5876.5379408816252</v>
      </c>
      <c r="D25" s="2">
        <f t="shared" si="0"/>
        <v>3232.0958674848939</v>
      </c>
    </row>
    <row r="26" spans="1:4" x14ac:dyDescent="0.2">
      <c r="A26" s="1">
        <v>24</v>
      </c>
      <c r="B26" s="2">
        <f t="shared" si="1"/>
        <v>5876.5379408816252</v>
      </c>
      <c r="C26" s="2">
        <f t="shared" si="2"/>
        <v>6229.130217334523</v>
      </c>
      <c r="D26" s="2">
        <f t="shared" si="0"/>
        <v>3426.0216195339881</v>
      </c>
    </row>
    <row r="27" spans="1:4" x14ac:dyDescent="0.2">
      <c r="A27" s="1">
        <v>25</v>
      </c>
      <c r="B27" s="2">
        <f t="shared" si="1"/>
        <v>6229.130217334523</v>
      </c>
      <c r="C27" s="2">
        <f t="shared" si="2"/>
        <v>6602.8780303745943</v>
      </c>
      <c r="D27" s="2">
        <f t="shared" si="0"/>
        <v>3631.5829167060274</v>
      </c>
    </row>
    <row r="28" spans="1:4" x14ac:dyDescent="0.2">
      <c r="A28" s="1">
        <v>26</v>
      </c>
      <c r="B28" s="2">
        <f t="shared" si="1"/>
        <v>6602.8780303745943</v>
      </c>
      <c r="C28" s="2">
        <f t="shared" si="2"/>
        <v>6999.0507121970704</v>
      </c>
      <c r="D28" s="2">
        <f t="shared" si="0"/>
        <v>3849.4778917083891</v>
      </c>
    </row>
    <row r="29" spans="1:4" x14ac:dyDescent="0.2">
      <c r="A29" s="1">
        <v>27</v>
      </c>
      <c r="B29" s="2">
        <f t="shared" si="1"/>
        <v>6999.0507121970704</v>
      </c>
      <c r="C29" s="2">
        <f t="shared" si="2"/>
        <v>7418.9937549288952</v>
      </c>
      <c r="D29" s="2">
        <f t="shared" si="0"/>
        <v>4080.4465652108929</v>
      </c>
    </row>
    <row r="30" spans="1:4" x14ac:dyDescent="0.2">
      <c r="A30" s="1">
        <v>28</v>
      </c>
      <c r="B30" s="2">
        <f t="shared" si="1"/>
        <v>7418.9937549288952</v>
      </c>
      <c r="C30" s="2">
        <f t="shared" si="2"/>
        <v>7864.133380224629</v>
      </c>
      <c r="D30" s="2">
        <f t="shared" si="0"/>
        <v>4325.2733591235465</v>
      </c>
    </row>
    <row r="31" spans="1:4" x14ac:dyDescent="0.2">
      <c r="A31" s="1">
        <v>29</v>
      </c>
      <c r="B31" s="2">
        <f t="shared" si="1"/>
        <v>7864.133380224629</v>
      </c>
      <c r="C31" s="2">
        <f t="shared" si="2"/>
        <v>8335.9813830381081</v>
      </c>
      <c r="D31" s="2">
        <f t="shared" si="0"/>
        <v>4584.7897606709603</v>
      </c>
    </row>
    <row r="32" spans="1:4" x14ac:dyDescent="0.2">
      <c r="A32" s="1">
        <v>30</v>
      </c>
      <c r="B32" s="2">
        <f t="shared" si="1"/>
        <v>8335.9813830381081</v>
      </c>
      <c r="C32" s="2">
        <f t="shared" si="2"/>
        <v>8836.1402660203948</v>
      </c>
      <c r="D32" s="2">
        <f t="shared" si="0"/>
        <v>4859.877146311218</v>
      </c>
    </row>
    <row r="33" spans="1:4" x14ac:dyDescent="0.2">
      <c r="A33" s="1">
        <v>31</v>
      </c>
      <c r="B33" s="2">
        <f t="shared" ref="B33:B42" si="3">C32</f>
        <v>8836.1402660203948</v>
      </c>
      <c r="C33" s="2">
        <f t="shared" si="2"/>
        <v>9366.3086819816199</v>
      </c>
      <c r="D33" s="2">
        <f t="shared" si="0"/>
        <v>5151.4697750898913</v>
      </c>
    </row>
    <row r="34" spans="1:4" x14ac:dyDescent="0.2">
      <c r="A34" s="1">
        <v>32</v>
      </c>
      <c r="B34" s="2">
        <f t="shared" si="3"/>
        <v>9366.3086819816199</v>
      </c>
      <c r="C34" s="2">
        <f t="shared" si="2"/>
        <v>9928.2872029005175</v>
      </c>
      <c r="D34" s="2">
        <f t="shared" si="0"/>
        <v>5460.5579615952847</v>
      </c>
    </row>
    <row r="35" spans="1:4" x14ac:dyDescent="0.2">
      <c r="A35" s="1">
        <v>33</v>
      </c>
      <c r="B35" s="2">
        <f t="shared" si="3"/>
        <v>9928.2872029005175</v>
      </c>
      <c r="C35" s="2">
        <f t="shared" si="2"/>
        <v>10523.98443507455</v>
      </c>
      <c r="D35" s="2">
        <f t="shared" ref="D35:D66" si="4">C35*(1-OIRate-Penalty)</f>
        <v>5788.191439291003</v>
      </c>
    </row>
    <row r="36" spans="1:4" x14ac:dyDescent="0.2">
      <c r="A36" s="1">
        <v>34</v>
      </c>
      <c r="B36" s="2">
        <f t="shared" si="3"/>
        <v>10523.98443507455</v>
      </c>
      <c r="C36" s="2">
        <f t="shared" si="2"/>
        <v>11155.423501179022</v>
      </c>
      <c r="D36" s="2">
        <f t="shared" si="4"/>
        <v>6135.4829256484627</v>
      </c>
    </row>
    <row r="37" spans="1:4" x14ac:dyDescent="0.2">
      <c r="A37" s="1">
        <v>35</v>
      </c>
      <c r="B37" s="2">
        <f t="shared" si="3"/>
        <v>11155.423501179022</v>
      </c>
      <c r="C37" s="2">
        <f t="shared" si="2"/>
        <v>11824.748911249764</v>
      </c>
      <c r="D37" s="2">
        <f t="shared" si="4"/>
        <v>6503.6119011873707</v>
      </c>
    </row>
    <row r="38" spans="1:4" x14ac:dyDescent="0.2">
      <c r="A38" s="1">
        <v>36</v>
      </c>
      <c r="B38" s="2">
        <f t="shared" si="3"/>
        <v>11824.748911249764</v>
      </c>
      <c r="C38" s="2">
        <f t="shared" si="2"/>
        <v>12534.233845924751</v>
      </c>
      <c r="D38" s="2">
        <f t="shared" si="4"/>
        <v>6893.8286152586134</v>
      </c>
    </row>
    <row r="39" spans="1:4" x14ac:dyDescent="0.2">
      <c r="A39" s="1">
        <v>37</v>
      </c>
      <c r="B39" s="2">
        <f t="shared" si="3"/>
        <v>12534.233845924751</v>
      </c>
      <c r="C39" s="2">
        <f t="shared" si="2"/>
        <v>13286.287876680237</v>
      </c>
      <c r="D39" s="2">
        <f t="shared" si="4"/>
        <v>7307.4583321741311</v>
      </c>
    </row>
    <row r="40" spans="1:4" x14ac:dyDescent="0.2">
      <c r="A40" s="1">
        <v>38</v>
      </c>
      <c r="B40" s="2">
        <f t="shared" si="3"/>
        <v>13286.287876680237</v>
      </c>
      <c r="C40" s="2">
        <f t="shared" si="2"/>
        <v>14083.465149281052</v>
      </c>
      <c r="D40" s="2">
        <f t="shared" si="4"/>
        <v>7745.9058321045786</v>
      </c>
    </row>
    <row r="41" spans="1:4" x14ac:dyDescent="0.2">
      <c r="A41" s="1">
        <v>39</v>
      </c>
      <c r="B41" s="2">
        <f t="shared" si="3"/>
        <v>14083.465149281052</v>
      </c>
      <c r="C41" s="2">
        <f t="shared" si="2"/>
        <v>14928.473058237916</v>
      </c>
      <c r="D41" s="2">
        <f t="shared" si="4"/>
        <v>8210.6601820308551</v>
      </c>
    </row>
    <row r="42" spans="1:4" x14ac:dyDescent="0.2">
      <c r="A42" s="1">
        <v>40</v>
      </c>
      <c r="B42" s="2">
        <f t="shared" si="3"/>
        <v>14928.473058237916</v>
      </c>
      <c r="C42" s="2">
        <f t="shared" si="2"/>
        <v>15824.181441732191</v>
      </c>
      <c r="D42" s="2">
        <f t="shared" si="4"/>
        <v>8703.2997929527064</v>
      </c>
    </row>
    <row r="43" spans="1:4" x14ac:dyDescent="0.2">
      <c r="A43" s="1">
        <v>41</v>
      </c>
      <c r="B43" s="2">
        <f t="shared" ref="B43:B103" si="5">C42</f>
        <v>15824.181441732191</v>
      </c>
      <c r="C43" s="2">
        <f t="shared" si="2"/>
        <v>16773.632328236123</v>
      </c>
      <c r="D43" s="2">
        <f t="shared" si="4"/>
        <v>9225.4977805298677</v>
      </c>
    </row>
    <row r="44" spans="1:4" x14ac:dyDescent="0.2">
      <c r="A44" s="1">
        <v>42</v>
      </c>
      <c r="B44" s="2">
        <f t="shared" si="5"/>
        <v>16773.632328236123</v>
      </c>
      <c r="C44" s="2">
        <f t="shared" si="2"/>
        <v>17780.050267930292</v>
      </c>
      <c r="D44" s="2">
        <f t="shared" si="4"/>
        <v>9779.0276473616614</v>
      </c>
    </row>
    <row r="45" spans="1:4" x14ac:dyDescent="0.2">
      <c r="A45" s="1">
        <v>43</v>
      </c>
      <c r="B45" s="2">
        <f t="shared" si="5"/>
        <v>17780.050267930292</v>
      </c>
      <c r="C45" s="2">
        <f t="shared" si="2"/>
        <v>18846.853284006109</v>
      </c>
      <c r="D45" s="2">
        <f t="shared" si="4"/>
        <v>10365.769306203361</v>
      </c>
    </row>
    <row r="46" spans="1:4" x14ac:dyDescent="0.2">
      <c r="A46" s="1">
        <v>44</v>
      </c>
      <c r="B46" s="2">
        <f t="shared" si="5"/>
        <v>18846.853284006109</v>
      </c>
      <c r="C46" s="2">
        <f t="shared" si="2"/>
        <v>19977.664481046475</v>
      </c>
      <c r="D46" s="2">
        <f t="shared" si="4"/>
        <v>10987.715464575562</v>
      </c>
    </row>
    <row r="47" spans="1:4" x14ac:dyDescent="0.2">
      <c r="A47" s="1">
        <v>45</v>
      </c>
      <c r="B47" s="2">
        <f t="shared" si="5"/>
        <v>19977.664481046475</v>
      </c>
      <c r="C47" s="2">
        <f t="shared" si="2"/>
        <v>21176.324349909264</v>
      </c>
      <c r="D47" s="2">
        <f t="shared" si="4"/>
        <v>11646.978392450097</v>
      </c>
    </row>
    <row r="48" spans="1:4" x14ac:dyDescent="0.2">
      <c r="A48" s="1">
        <v>46</v>
      </c>
      <c r="B48" s="2">
        <f t="shared" si="5"/>
        <v>21176.324349909264</v>
      </c>
      <c r="C48" s="2">
        <f t="shared" si="2"/>
        <v>22446.903810903823</v>
      </c>
      <c r="D48" s="2">
        <f t="shared" si="4"/>
        <v>12345.797095997104</v>
      </c>
    </row>
    <row r="49" spans="1:4" x14ac:dyDescent="0.2">
      <c r="A49" s="1">
        <v>47</v>
      </c>
      <c r="B49" s="2">
        <f t="shared" si="5"/>
        <v>22446.903810903823</v>
      </c>
      <c r="C49" s="2">
        <f t="shared" si="2"/>
        <v>23793.718039558054</v>
      </c>
      <c r="D49" s="2">
        <f t="shared" si="4"/>
        <v>13086.544921756931</v>
      </c>
    </row>
    <row r="50" spans="1:4" x14ac:dyDescent="0.2">
      <c r="A50" s="1">
        <v>48</v>
      </c>
      <c r="B50" s="2">
        <f t="shared" si="5"/>
        <v>23793.718039558054</v>
      </c>
      <c r="C50" s="2">
        <f t="shared" si="2"/>
        <v>25221.341121931539</v>
      </c>
      <c r="D50" s="2">
        <f t="shared" si="4"/>
        <v>13871.737617062347</v>
      </c>
    </row>
    <row r="51" spans="1:4" x14ac:dyDescent="0.2">
      <c r="A51" s="1">
        <v>49</v>
      </c>
      <c r="B51" s="2">
        <f t="shared" si="5"/>
        <v>25221.341121931539</v>
      </c>
      <c r="C51" s="2">
        <f t="shared" si="2"/>
        <v>26734.621589247432</v>
      </c>
      <c r="D51" s="2">
        <f t="shared" si="4"/>
        <v>14704.04187408609</v>
      </c>
    </row>
    <row r="52" spans="1:4" x14ac:dyDescent="0.2">
      <c r="A52" s="1">
        <v>50</v>
      </c>
      <c r="B52" s="2">
        <f t="shared" si="5"/>
        <v>26734.621589247432</v>
      </c>
      <c r="C52" s="2">
        <f t="shared" si="2"/>
        <v>28338.69888460228</v>
      </c>
      <c r="D52" s="2">
        <f t="shared" si="4"/>
        <v>15586.284386531255</v>
      </c>
    </row>
    <row r="53" spans="1:4" x14ac:dyDescent="0.2">
      <c r="A53" s="1">
        <v>51</v>
      </c>
      <c r="B53" s="2">
        <f t="shared" si="5"/>
        <v>28338.69888460228</v>
      </c>
      <c r="C53" s="2">
        <f t="shared" si="2"/>
        <v>30039.020817678418</v>
      </c>
      <c r="D53" s="2">
        <f t="shared" si="4"/>
        <v>16521.46144972313</v>
      </c>
    </row>
    <row r="54" spans="1:4" x14ac:dyDescent="0.2">
      <c r="A54" s="1">
        <v>52</v>
      </c>
      <c r="B54" s="2">
        <f t="shared" si="5"/>
        <v>30039.020817678418</v>
      </c>
      <c r="C54" s="2">
        <f t="shared" si="2"/>
        <v>31841.362066739126</v>
      </c>
      <c r="D54" s="2">
        <f t="shared" si="4"/>
        <v>17512.749136706519</v>
      </c>
    </row>
    <row r="55" spans="1:4" x14ac:dyDescent="0.2">
      <c r="A55" s="1">
        <v>53</v>
      </c>
      <c r="B55" s="2">
        <f t="shared" si="5"/>
        <v>31841.362066739126</v>
      </c>
      <c r="C55" s="2">
        <f t="shared" si="2"/>
        <v>33751.843790743478</v>
      </c>
      <c r="D55" s="2">
        <f t="shared" si="4"/>
        <v>18563.514084908915</v>
      </c>
    </row>
    <row r="56" spans="1:4" x14ac:dyDescent="0.2">
      <c r="A56" s="1">
        <v>54</v>
      </c>
      <c r="B56" s="2">
        <f t="shared" si="5"/>
        <v>33751.843790743478</v>
      </c>
      <c r="C56" s="2">
        <f t="shared" si="2"/>
        <v>35776.954418188092</v>
      </c>
      <c r="D56" s="2">
        <f t="shared" si="4"/>
        <v>19677.324930003451</v>
      </c>
    </row>
    <row r="57" spans="1:4" x14ac:dyDescent="0.2">
      <c r="A57" s="1">
        <v>55</v>
      </c>
      <c r="B57" s="2">
        <f t="shared" si="5"/>
        <v>35776.954418188092</v>
      </c>
      <c r="C57" s="2">
        <f t="shared" si="2"/>
        <v>37923.571683279377</v>
      </c>
      <c r="D57" s="2">
        <f t="shared" si="4"/>
        <v>20857.964425803661</v>
      </c>
    </row>
    <row r="58" spans="1:4" x14ac:dyDescent="0.2">
      <c r="A58" s="1">
        <v>56</v>
      </c>
      <c r="B58" s="2">
        <f t="shared" si="5"/>
        <v>37923.571683279377</v>
      </c>
      <c r="C58" s="2">
        <f t="shared" si="2"/>
        <v>40198.985984276143</v>
      </c>
      <c r="D58" s="2">
        <f t="shared" si="4"/>
        <v>22109.442291351879</v>
      </c>
    </row>
    <row r="59" spans="1:4" x14ac:dyDescent="0.2">
      <c r="A59" s="1">
        <v>57</v>
      </c>
      <c r="B59" s="2">
        <f t="shared" si="5"/>
        <v>40198.985984276143</v>
      </c>
      <c r="C59" s="2">
        <f t="shared" si="2"/>
        <v>42610.925143332715</v>
      </c>
      <c r="D59" s="2">
        <f t="shared" si="4"/>
        <v>23436.008828832997</v>
      </c>
    </row>
    <row r="60" spans="1:4" x14ac:dyDescent="0.2">
      <c r="A60" s="1">
        <v>58</v>
      </c>
      <c r="B60" s="2">
        <f t="shared" si="5"/>
        <v>42610.925143332715</v>
      </c>
      <c r="C60" s="2">
        <f t="shared" si="2"/>
        <v>45167.58065193268</v>
      </c>
      <c r="D60" s="2">
        <f t="shared" si="4"/>
        <v>24842.169358562976</v>
      </c>
    </row>
    <row r="61" spans="1:4" x14ac:dyDescent="0.2">
      <c r="A61" s="1">
        <v>59</v>
      </c>
      <c r="B61" s="2">
        <f t="shared" si="5"/>
        <v>45167.58065193268</v>
      </c>
      <c r="C61" s="2">
        <f t="shared" si="2"/>
        <v>47877.635491048641</v>
      </c>
      <c r="D61" s="2">
        <f t="shared" si="4"/>
        <v>26332.699520076756</v>
      </c>
    </row>
    <row r="62" spans="1:4" x14ac:dyDescent="0.2">
      <c r="A62" s="1">
        <v>60</v>
      </c>
      <c r="B62" s="2">
        <f t="shared" si="5"/>
        <v>47877.635491048641</v>
      </c>
      <c r="C62" s="2">
        <f t="shared" si="2"/>
        <v>50750.293620511562</v>
      </c>
      <c r="D62" s="2">
        <f t="shared" si="4"/>
        <v>27912.66149128136</v>
      </c>
    </row>
    <row r="63" spans="1:4" x14ac:dyDescent="0.2">
      <c r="A63" s="1">
        <v>61</v>
      </c>
      <c r="B63" s="2">
        <f t="shared" si="5"/>
        <v>50750.293620511562</v>
      </c>
      <c r="C63" s="2">
        <f t="shared" si="2"/>
        <v>53795.311237742259</v>
      </c>
      <c r="D63" s="2">
        <f t="shared" si="4"/>
        <v>29587.421180758243</v>
      </c>
    </row>
    <row r="64" spans="1:4" x14ac:dyDescent="0.2">
      <c r="A64" s="1">
        <v>62</v>
      </c>
      <c r="B64" s="2">
        <f t="shared" si="5"/>
        <v>53795.311237742259</v>
      </c>
      <c r="C64" s="2">
        <f t="shared" si="2"/>
        <v>57023.029912006794</v>
      </c>
      <c r="D64" s="2">
        <f t="shared" si="4"/>
        <v>31362.666451603738</v>
      </c>
    </row>
    <row r="65" spans="1:4" x14ac:dyDescent="0.2">
      <c r="A65" s="1">
        <v>63</v>
      </c>
      <c r="B65" s="2">
        <f t="shared" si="5"/>
        <v>57023.029912006794</v>
      </c>
      <c r="C65" s="2">
        <f t="shared" si="2"/>
        <v>60444.411706727202</v>
      </c>
      <c r="D65" s="2">
        <f t="shared" si="4"/>
        <v>33244.426438699964</v>
      </c>
    </row>
    <row r="66" spans="1:4" x14ac:dyDescent="0.2">
      <c r="A66" s="1">
        <v>64</v>
      </c>
      <c r="B66" s="2">
        <f t="shared" si="5"/>
        <v>60444.411706727202</v>
      </c>
      <c r="C66" s="2">
        <f t="shared" si="2"/>
        <v>64071.076409130837</v>
      </c>
      <c r="D66" s="2">
        <f t="shared" si="4"/>
        <v>35239.092025021964</v>
      </c>
    </row>
    <row r="67" spans="1:4" x14ac:dyDescent="0.2">
      <c r="A67" s="1">
        <v>65</v>
      </c>
      <c r="B67" s="2">
        <f t="shared" si="5"/>
        <v>64071.076409130837</v>
      </c>
      <c r="C67" s="2">
        <f t="shared" si="2"/>
        <v>67915.340993678692</v>
      </c>
      <c r="D67" s="2">
        <f t="shared" ref="D67:D98" si="6">C67*(1-OIRate-Penalty)</f>
        <v>37353.437546523281</v>
      </c>
    </row>
    <row r="68" spans="1:4" x14ac:dyDescent="0.2">
      <c r="A68" s="1">
        <v>66</v>
      </c>
      <c r="B68" s="2">
        <f t="shared" si="5"/>
        <v>67915.340993678692</v>
      </c>
      <c r="C68" s="2">
        <f t="shared" ref="C68:C103" si="7">B68*(1+TotalReturn)</f>
        <v>71990.261453299419</v>
      </c>
      <c r="D68" s="2">
        <f t="shared" si="6"/>
        <v>39594.643799314683</v>
      </c>
    </row>
    <row r="69" spans="1:4" x14ac:dyDescent="0.2">
      <c r="A69" s="1">
        <v>67</v>
      </c>
      <c r="B69" s="2">
        <f t="shared" si="5"/>
        <v>71990.261453299419</v>
      </c>
      <c r="C69" s="2">
        <f t="shared" si="7"/>
        <v>76309.677140497384</v>
      </c>
      <c r="D69" s="2">
        <f t="shared" si="6"/>
        <v>41970.322427273568</v>
      </c>
    </row>
    <row r="70" spans="1:4" x14ac:dyDescent="0.2">
      <c r="A70" s="1">
        <v>68</v>
      </c>
      <c r="B70" s="2">
        <f t="shared" si="5"/>
        <v>76309.677140497384</v>
      </c>
      <c r="C70" s="2">
        <f t="shared" si="7"/>
        <v>80888.257768927229</v>
      </c>
      <c r="D70" s="2">
        <f t="shared" si="6"/>
        <v>44488.541772909979</v>
      </c>
    </row>
    <row r="71" spans="1:4" x14ac:dyDescent="0.2">
      <c r="A71" s="1">
        <v>69</v>
      </c>
      <c r="B71" s="2">
        <f t="shared" si="5"/>
        <v>80888.257768927229</v>
      </c>
      <c r="C71" s="2">
        <f t="shared" si="7"/>
        <v>85741.553235062864</v>
      </c>
      <c r="D71" s="2">
        <f t="shared" si="6"/>
        <v>47157.854279284576</v>
      </c>
    </row>
    <row r="72" spans="1:4" x14ac:dyDescent="0.2">
      <c r="A72" s="1">
        <v>70</v>
      </c>
      <c r="B72" s="2">
        <f t="shared" si="5"/>
        <v>85741.553235062864</v>
      </c>
      <c r="C72" s="2">
        <f t="shared" si="7"/>
        <v>90886.046429166643</v>
      </c>
      <c r="D72" s="2">
        <f t="shared" si="6"/>
        <v>49987.325536041659</v>
      </c>
    </row>
    <row r="73" spans="1:4" x14ac:dyDescent="0.2">
      <c r="A73" s="1">
        <v>71</v>
      </c>
      <c r="B73" s="2">
        <f t="shared" si="5"/>
        <v>90886.046429166643</v>
      </c>
      <c r="C73" s="2">
        <f t="shared" si="7"/>
        <v>96339.209214916642</v>
      </c>
      <c r="D73" s="2">
        <f t="shared" si="6"/>
        <v>52986.56506820416</v>
      </c>
    </row>
    <row r="74" spans="1:4" x14ac:dyDescent="0.2">
      <c r="A74" s="1">
        <v>72</v>
      </c>
      <c r="B74" s="2">
        <f t="shared" si="5"/>
        <v>96339.209214916642</v>
      </c>
      <c r="C74" s="2">
        <f t="shared" si="7"/>
        <v>102119.56176781164</v>
      </c>
      <c r="D74" s="2">
        <f t="shared" si="6"/>
        <v>56165.758972296404</v>
      </c>
    </row>
    <row r="75" spans="1:4" x14ac:dyDescent="0.2">
      <c r="A75" s="1">
        <v>73</v>
      </c>
      <c r="B75" s="2">
        <f t="shared" si="5"/>
        <v>102119.56176781164</v>
      </c>
      <c r="C75" s="2">
        <f t="shared" si="7"/>
        <v>108246.73547388034</v>
      </c>
      <c r="D75" s="2">
        <f t="shared" si="6"/>
        <v>59535.70451063419</v>
      </c>
    </row>
    <row r="76" spans="1:4" x14ac:dyDescent="0.2">
      <c r="A76" s="1">
        <v>74</v>
      </c>
      <c r="B76" s="2">
        <f t="shared" si="5"/>
        <v>108246.73547388034</v>
      </c>
      <c r="C76" s="2">
        <f t="shared" si="7"/>
        <v>114741.53960231316</v>
      </c>
      <c r="D76" s="2">
        <f t="shared" si="6"/>
        <v>63107.846781272245</v>
      </c>
    </row>
    <row r="77" spans="1:4" x14ac:dyDescent="0.2">
      <c r="A77" s="1">
        <v>75</v>
      </c>
      <c r="B77" s="2">
        <f t="shared" si="5"/>
        <v>114741.53960231316</v>
      </c>
      <c r="C77" s="2">
        <f t="shared" si="7"/>
        <v>121626.03197845195</v>
      </c>
      <c r="D77" s="2">
        <f t="shared" si="6"/>
        <v>66894.31758814858</v>
      </c>
    </row>
    <row r="78" spans="1:4" x14ac:dyDescent="0.2">
      <c r="A78" s="1">
        <v>76</v>
      </c>
      <c r="B78" s="2">
        <f t="shared" si="5"/>
        <v>121626.03197845195</v>
      </c>
      <c r="C78" s="2">
        <f t="shared" si="7"/>
        <v>128923.59389715908</v>
      </c>
      <c r="D78" s="2">
        <f t="shared" si="6"/>
        <v>70907.976643437505</v>
      </c>
    </row>
    <row r="79" spans="1:4" x14ac:dyDescent="0.2">
      <c r="A79" s="1">
        <v>77</v>
      </c>
      <c r="B79" s="2">
        <f t="shared" si="5"/>
        <v>128923.59389715908</v>
      </c>
      <c r="C79" s="2">
        <f t="shared" si="7"/>
        <v>136659.00953098864</v>
      </c>
      <c r="D79" s="2">
        <f t="shared" si="6"/>
        <v>75162.455242043754</v>
      </c>
    </row>
    <row r="80" spans="1:4" x14ac:dyDescent="0.2">
      <c r="A80" s="1">
        <v>78</v>
      </c>
      <c r="B80" s="2">
        <f t="shared" si="5"/>
        <v>136659.00953098864</v>
      </c>
      <c r="C80" s="2">
        <f t="shared" si="7"/>
        <v>144858.55010284798</v>
      </c>
      <c r="D80" s="2">
        <f t="shared" si="6"/>
        <v>79672.202556566393</v>
      </c>
    </row>
    <row r="81" spans="1:4" x14ac:dyDescent="0.2">
      <c r="A81" s="1">
        <v>79</v>
      </c>
      <c r="B81" s="2">
        <f t="shared" si="5"/>
        <v>144858.55010284798</v>
      </c>
      <c r="C81" s="2">
        <f t="shared" si="7"/>
        <v>153550.06310901887</v>
      </c>
      <c r="D81" s="2">
        <f t="shared" si="6"/>
        <v>84452.534709960382</v>
      </c>
    </row>
    <row r="82" spans="1:4" x14ac:dyDescent="0.2">
      <c r="A82" s="1">
        <v>80</v>
      </c>
      <c r="B82" s="2">
        <f t="shared" si="5"/>
        <v>153550.06310901887</v>
      </c>
      <c r="C82" s="2">
        <f t="shared" si="7"/>
        <v>162763.06689556001</v>
      </c>
      <c r="D82" s="2">
        <f t="shared" si="6"/>
        <v>89519.686792558015</v>
      </c>
    </row>
    <row r="83" spans="1:4" x14ac:dyDescent="0.2">
      <c r="A83" s="1">
        <v>81</v>
      </c>
      <c r="B83" s="2">
        <f t="shared" si="5"/>
        <v>162763.06689556001</v>
      </c>
      <c r="C83" s="2">
        <f t="shared" si="7"/>
        <v>172528.85090929363</v>
      </c>
      <c r="D83" s="2">
        <f t="shared" si="6"/>
        <v>94890.868000111499</v>
      </c>
    </row>
    <row r="84" spans="1:4" x14ac:dyDescent="0.2">
      <c r="A84" s="1">
        <v>82</v>
      </c>
      <c r="B84" s="2">
        <f t="shared" si="5"/>
        <v>172528.85090929363</v>
      </c>
      <c r="C84" s="2">
        <f t="shared" si="7"/>
        <v>182880.58196385126</v>
      </c>
      <c r="D84" s="2">
        <f t="shared" si="6"/>
        <v>100584.3200801182</v>
      </c>
    </row>
    <row r="85" spans="1:4" x14ac:dyDescent="0.2">
      <c r="A85" s="1">
        <v>83</v>
      </c>
      <c r="B85" s="2">
        <f t="shared" si="5"/>
        <v>182880.58196385126</v>
      </c>
      <c r="C85" s="2">
        <f t="shared" si="7"/>
        <v>193853.41688168235</v>
      </c>
      <c r="D85" s="2">
        <f t="shared" si="6"/>
        <v>106619.37928492531</v>
      </c>
    </row>
    <row r="86" spans="1:4" x14ac:dyDescent="0.2">
      <c r="A86" s="1">
        <v>84</v>
      </c>
      <c r="B86" s="2">
        <f t="shared" si="5"/>
        <v>193853.41688168235</v>
      </c>
      <c r="C86" s="2">
        <f t="shared" si="7"/>
        <v>205484.62189458331</v>
      </c>
      <c r="D86" s="2">
        <f t="shared" si="6"/>
        <v>113016.54204202082</v>
      </c>
    </row>
    <row r="87" spans="1:4" x14ac:dyDescent="0.2">
      <c r="A87" s="1">
        <v>85</v>
      </c>
      <c r="B87" s="2">
        <f t="shared" si="5"/>
        <v>205484.62189458331</v>
      </c>
      <c r="C87" s="2">
        <f t="shared" si="7"/>
        <v>217813.69920825833</v>
      </c>
      <c r="D87" s="2">
        <f t="shared" si="6"/>
        <v>119797.53456454209</v>
      </c>
    </row>
    <row r="88" spans="1:4" x14ac:dyDescent="0.2">
      <c r="A88" s="1">
        <v>86</v>
      </c>
      <c r="B88" s="2">
        <f t="shared" si="5"/>
        <v>217813.69920825833</v>
      </c>
      <c r="C88" s="2">
        <f t="shared" si="7"/>
        <v>230882.52116075385</v>
      </c>
      <c r="D88" s="2">
        <f t="shared" si="6"/>
        <v>126985.38663841462</v>
      </c>
    </row>
    <row r="89" spans="1:4" x14ac:dyDescent="0.2">
      <c r="A89" s="1">
        <v>87</v>
      </c>
      <c r="B89" s="2">
        <f t="shared" si="5"/>
        <v>230882.52116075385</v>
      </c>
      <c r="C89" s="2">
        <f t="shared" si="7"/>
        <v>244735.4724303991</v>
      </c>
      <c r="D89" s="2">
        <f t="shared" si="6"/>
        <v>134604.50983671952</v>
      </c>
    </row>
    <row r="90" spans="1:4" x14ac:dyDescent="0.2">
      <c r="A90" s="1">
        <v>88</v>
      </c>
      <c r="B90" s="2">
        <f t="shared" si="5"/>
        <v>244735.4724303991</v>
      </c>
      <c r="C90" s="2">
        <f t="shared" si="7"/>
        <v>259419.60077622306</v>
      </c>
      <c r="D90" s="2">
        <f t="shared" si="6"/>
        <v>142680.78042692269</v>
      </c>
    </row>
    <row r="91" spans="1:4" x14ac:dyDescent="0.2">
      <c r="A91" s="1">
        <v>89</v>
      </c>
      <c r="B91" s="2">
        <f t="shared" si="5"/>
        <v>259419.60077622306</v>
      </c>
      <c r="C91" s="2">
        <f t="shared" si="7"/>
        <v>274984.77682279644</v>
      </c>
      <c r="D91" s="2">
        <f t="shared" si="6"/>
        <v>151241.62725253805</v>
      </c>
    </row>
    <row r="92" spans="1:4" x14ac:dyDescent="0.2">
      <c r="A92" s="1">
        <v>90</v>
      </c>
      <c r="B92" s="2">
        <f t="shared" si="5"/>
        <v>274984.77682279644</v>
      </c>
      <c r="C92" s="2">
        <f t="shared" si="7"/>
        <v>291483.86343216425</v>
      </c>
      <c r="D92" s="2">
        <f t="shared" si="6"/>
        <v>160316.12488769036</v>
      </c>
    </row>
    <row r="93" spans="1:4" x14ac:dyDescent="0.2">
      <c r="A93" s="1">
        <v>91</v>
      </c>
      <c r="B93" s="2">
        <f t="shared" si="5"/>
        <v>291483.86343216425</v>
      </c>
      <c r="C93" s="2">
        <f t="shared" si="7"/>
        <v>308972.89523809409</v>
      </c>
      <c r="D93" s="2">
        <f t="shared" si="6"/>
        <v>169935.09238095177</v>
      </c>
    </row>
    <row r="94" spans="1:4" x14ac:dyDescent="0.2">
      <c r="A94" s="1">
        <v>92</v>
      </c>
      <c r="B94" s="2">
        <f t="shared" si="5"/>
        <v>308972.89523809409</v>
      </c>
      <c r="C94" s="2">
        <f t="shared" si="7"/>
        <v>327511.26895237976</v>
      </c>
      <c r="D94" s="2">
        <f t="shared" si="6"/>
        <v>180131.19792380888</v>
      </c>
    </row>
    <row r="95" spans="1:4" x14ac:dyDescent="0.2">
      <c r="A95" s="1">
        <v>93</v>
      </c>
      <c r="B95" s="2">
        <f t="shared" si="5"/>
        <v>327511.26895237976</v>
      </c>
      <c r="C95" s="2">
        <f t="shared" si="7"/>
        <v>347161.94508952257</v>
      </c>
      <c r="D95" s="2">
        <f t="shared" si="6"/>
        <v>190939.06979923742</v>
      </c>
    </row>
    <row r="96" spans="1:4" x14ac:dyDescent="0.2">
      <c r="A96" s="1">
        <v>94</v>
      </c>
      <c r="B96" s="2">
        <f t="shared" si="5"/>
        <v>347161.94508952257</v>
      </c>
      <c r="C96" s="2">
        <f t="shared" si="7"/>
        <v>367991.66179489397</v>
      </c>
      <c r="D96" s="2">
        <f t="shared" si="6"/>
        <v>202395.41398719169</v>
      </c>
    </row>
    <row r="97" spans="1:4" x14ac:dyDescent="0.2">
      <c r="A97" s="1">
        <v>95</v>
      </c>
      <c r="B97" s="2">
        <f t="shared" si="5"/>
        <v>367991.66179489397</v>
      </c>
      <c r="C97" s="2">
        <f t="shared" si="7"/>
        <v>390071.16150258761</v>
      </c>
      <c r="D97" s="2">
        <f t="shared" si="6"/>
        <v>214539.13882642321</v>
      </c>
    </row>
    <row r="98" spans="1:4" x14ac:dyDescent="0.2">
      <c r="A98" s="1">
        <v>96</v>
      </c>
      <c r="B98" s="2">
        <f t="shared" si="5"/>
        <v>390071.16150258761</v>
      </c>
      <c r="C98" s="2">
        <f t="shared" si="7"/>
        <v>413475.43119274289</v>
      </c>
      <c r="D98" s="2">
        <f t="shared" si="6"/>
        <v>227411.4871560086</v>
      </c>
    </row>
    <row r="99" spans="1:4" x14ac:dyDescent="0.2">
      <c r="A99" s="1">
        <v>97</v>
      </c>
      <c r="B99" s="2">
        <f t="shared" si="5"/>
        <v>413475.43119274289</v>
      </c>
      <c r="C99" s="2">
        <f t="shared" si="7"/>
        <v>438283.95706430747</v>
      </c>
      <c r="D99" s="2">
        <f t="shared" ref="D99:D103" si="8">C99*(1-OIRate-Penalty)</f>
        <v>241056.17638536912</v>
      </c>
    </row>
    <row r="100" spans="1:4" x14ac:dyDescent="0.2">
      <c r="A100" s="1">
        <v>98</v>
      </c>
      <c r="B100" s="2">
        <f t="shared" si="5"/>
        <v>438283.95706430747</v>
      </c>
      <c r="C100" s="2">
        <f t="shared" si="7"/>
        <v>464580.99448816595</v>
      </c>
      <c r="D100" s="2">
        <f t="shared" si="8"/>
        <v>255519.54696849128</v>
      </c>
    </row>
    <row r="101" spans="1:4" x14ac:dyDescent="0.2">
      <c r="A101" s="1">
        <v>99</v>
      </c>
      <c r="B101" s="2">
        <f t="shared" si="5"/>
        <v>464580.99448816595</v>
      </c>
      <c r="C101" s="2">
        <f t="shared" si="7"/>
        <v>492455.85415745591</v>
      </c>
      <c r="D101" s="2">
        <f t="shared" si="8"/>
        <v>270850.71978660079</v>
      </c>
    </row>
    <row r="102" spans="1:4" x14ac:dyDescent="0.2">
      <c r="A102" s="1">
        <v>100</v>
      </c>
      <c r="B102" s="2">
        <f t="shared" si="5"/>
        <v>492455.85415745591</v>
      </c>
      <c r="C102" s="2">
        <f t="shared" si="7"/>
        <v>522003.20540690329</v>
      </c>
      <c r="D102" s="2">
        <f t="shared" si="8"/>
        <v>287101.76297379681</v>
      </c>
    </row>
    <row r="103" spans="1:4" x14ac:dyDescent="0.2">
      <c r="A103" s="1">
        <v>101</v>
      </c>
      <c r="B103" s="2">
        <f t="shared" si="5"/>
        <v>522003.20540690329</v>
      </c>
      <c r="C103" s="2">
        <f t="shared" si="7"/>
        <v>553323.39773131756</v>
      </c>
      <c r="D103" s="2">
        <f t="shared" si="8"/>
        <v>304327.86875222466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workbookViewId="0">
      <selection activeCell="D9" sqref="D9"/>
    </sheetView>
  </sheetViews>
  <sheetFormatPr defaultRowHeight="12.75" x14ac:dyDescent="0.2"/>
  <cols>
    <col min="1" max="1" width="7" bestFit="1" customWidth="1"/>
    <col min="2" max="4" width="14.42578125" bestFit="1" customWidth="1"/>
  </cols>
  <sheetData>
    <row r="1" spans="1:4" x14ac:dyDescent="0.2">
      <c r="A1" s="3"/>
      <c r="B1" s="4" t="s">
        <v>9</v>
      </c>
      <c r="C1" s="4" t="s">
        <v>17</v>
      </c>
      <c r="D1" s="4" t="s">
        <v>6</v>
      </c>
    </row>
    <row r="2" spans="1:4" x14ac:dyDescent="0.2">
      <c r="A2" s="3" t="s">
        <v>8</v>
      </c>
      <c r="B2" s="4" t="s">
        <v>7</v>
      </c>
      <c r="C2" s="4" t="s">
        <v>7</v>
      </c>
      <c r="D2" s="4" t="s">
        <v>7</v>
      </c>
    </row>
    <row r="3" spans="1:4" x14ac:dyDescent="0.2">
      <c r="A3" s="1">
        <v>1</v>
      </c>
      <c r="B3" s="2">
        <f>InitInv</f>
        <v>1000</v>
      </c>
      <c r="C3" s="2">
        <f t="shared" ref="C3:C66" si="0">B3*(1+TotalReturn)</f>
        <v>1060</v>
      </c>
      <c r="D3" s="2">
        <f>B3+(C3-B3)*(1-0.1-OIRate)</f>
        <v>1033</v>
      </c>
    </row>
    <row r="4" spans="1:4" x14ac:dyDescent="0.2">
      <c r="A4" s="1">
        <v>2</v>
      </c>
      <c r="B4" s="2">
        <f t="shared" ref="B4:B32" si="1">C3</f>
        <v>1060</v>
      </c>
      <c r="C4" s="2">
        <f t="shared" si="0"/>
        <v>1123.6000000000001</v>
      </c>
      <c r="D4" s="2">
        <f>B4+(C4-B4)*(1-0.1-OIRate)</f>
        <v>1094.98</v>
      </c>
    </row>
    <row r="5" spans="1:4" x14ac:dyDescent="0.2">
      <c r="A5" s="1">
        <v>3</v>
      </c>
      <c r="B5" s="2">
        <f t="shared" si="1"/>
        <v>1123.6000000000001</v>
      </c>
      <c r="C5" s="2">
        <f t="shared" si="0"/>
        <v>1191.0160000000003</v>
      </c>
      <c r="D5" s="2">
        <f>B5+(C5-B5)*(1-0.1-OIRate)</f>
        <v>1160.6788000000001</v>
      </c>
    </row>
    <row r="6" spans="1:4" x14ac:dyDescent="0.2">
      <c r="A6" s="1">
        <v>4</v>
      </c>
      <c r="B6" s="2">
        <f t="shared" si="1"/>
        <v>1191.0160000000003</v>
      </c>
      <c r="C6" s="2">
        <f t="shared" si="0"/>
        <v>1262.4769600000004</v>
      </c>
      <c r="D6" s="2">
        <f>B6+(C6-B6)*(1-0.1-OIRate)</f>
        <v>1230.3195280000004</v>
      </c>
    </row>
    <row r="7" spans="1:4" x14ac:dyDescent="0.2">
      <c r="A7" s="1">
        <v>5</v>
      </c>
      <c r="B7" s="2">
        <f t="shared" si="1"/>
        <v>1262.4769600000004</v>
      </c>
      <c r="C7" s="2">
        <f t="shared" si="0"/>
        <v>1338.2255776000004</v>
      </c>
      <c r="D7" s="2">
        <f>B7+(C7-B7)*(1-0.1-OIRate)</f>
        <v>1304.1386996800004</v>
      </c>
    </row>
    <row r="8" spans="1:4" x14ac:dyDescent="0.2">
      <c r="A8" s="1">
        <v>6</v>
      </c>
      <c r="B8" s="2">
        <f t="shared" si="1"/>
        <v>1338.2255776000004</v>
      </c>
      <c r="C8" s="2">
        <f t="shared" si="0"/>
        <v>1418.5191122560004</v>
      </c>
      <c r="D8" s="2">
        <f t="shared" ref="D8:D39" si="2">IF(Penalty&gt;0,B8+(C8-B8)*(1-Penalty-OIRate),C8)</f>
        <v>1382.3870216608004</v>
      </c>
    </row>
    <row r="9" spans="1:4" x14ac:dyDescent="0.2">
      <c r="A9" s="1">
        <v>7</v>
      </c>
      <c r="B9" s="2">
        <f t="shared" si="1"/>
        <v>1418.5191122560004</v>
      </c>
      <c r="C9" s="2">
        <f t="shared" si="0"/>
        <v>1503.6302589913605</v>
      </c>
      <c r="D9" s="2">
        <f t="shared" si="2"/>
        <v>1465.3302429604485</v>
      </c>
    </row>
    <row r="10" spans="1:4" x14ac:dyDescent="0.2">
      <c r="A10" s="1">
        <v>8</v>
      </c>
      <c r="B10" s="2">
        <f t="shared" si="1"/>
        <v>1503.6302589913605</v>
      </c>
      <c r="C10" s="2">
        <f t="shared" si="0"/>
        <v>1593.8480745308423</v>
      </c>
      <c r="D10" s="2">
        <f t="shared" si="2"/>
        <v>1553.2500575380755</v>
      </c>
    </row>
    <row r="11" spans="1:4" x14ac:dyDescent="0.2">
      <c r="A11" s="1">
        <v>9</v>
      </c>
      <c r="B11" s="2">
        <f t="shared" si="1"/>
        <v>1593.8480745308423</v>
      </c>
      <c r="C11" s="2">
        <f t="shared" si="0"/>
        <v>1689.4789590026928</v>
      </c>
      <c r="D11" s="2">
        <f t="shared" si="2"/>
        <v>1646.4450609903602</v>
      </c>
    </row>
    <row r="12" spans="1:4" x14ac:dyDescent="0.2">
      <c r="A12" s="1">
        <v>10</v>
      </c>
      <c r="B12" s="2">
        <f t="shared" si="1"/>
        <v>1689.4789590026928</v>
      </c>
      <c r="C12" s="2">
        <f t="shared" si="0"/>
        <v>1790.8476965428545</v>
      </c>
      <c r="D12" s="2">
        <f t="shared" si="2"/>
        <v>1745.2317646497818</v>
      </c>
    </row>
    <row r="13" spans="1:4" x14ac:dyDescent="0.2">
      <c r="A13" s="1">
        <v>11</v>
      </c>
      <c r="B13" s="2">
        <f t="shared" si="1"/>
        <v>1790.8476965428545</v>
      </c>
      <c r="C13" s="2">
        <f t="shared" si="0"/>
        <v>1898.2985583354259</v>
      </c>
      <c r="D13" s="2">
        <f t="shared" si="2"/>
        <v>1849.9456705287687</v>
      </c>
    </row>
    <row r="14" spans="1:4" x14ac:dyDescent="0.2">
      <c r="A14" s="1">
        <v>12</v>
      </c>
      <c r="B14" s="2">
        <f t="shared" si="1"/>
        <v>1898.2985583354259</v>
      </c>
      <c r="C14" s="2">
        <f t="shared" si="0"/>
        <v>2012.1964718355516</v>
      </c>
      <c r="D14" s="2">
        <f t="shared" si="2"/>
        <v>1960.942410760495</v>
      </c>
    </row>
    <row r="15" spans="1:4" x14ac:dyDescent="0.2">
      <c r="A15" s="1">
        <v>13</v>
      </c>
      <c r="B15" s="2">
        <f t="shared" si="1"/>
        <v>2012.1964718355516</v>
      </c>
      <c r="C15" s="2">
        <f t="shared" si="0"/>
        <v>2132.9282601456848</v>
      </c>
      <c r="D15" s="2">
        <f t="shared" si="2"/>
        <v>2078.5989554061248</v>
      </c>
    </row>
    <row r="16" spans="1:4" x14ac:dyDescent="0.2">
      <c r="A16" s="1">
        <v>14</v>
      </c>
      <c r="B16" s="2">
        <f t="shared" si="1"/>
        <v>2132.9282601456848</v>
      </c>
      <c r="C16" s="2">
        <f t="shared" si="0"/>
        <v>2260.9039557544261</v>
      </c>
      <c r="D16" s="2">
        <f t="shared" si="2"/>
        <v>2203.3148927304924</v>
      </c>
    </row>
    <row r="17" spans="1:4" x14ac:dyDescent="0.2">
      <c r="A17" s="1">
        <v>15</v>
      </c>
      <c r="B17" s="2">
        <f t="shared" si="1"/>
        <v>2260.9039557544261</v>
      </c>
      <c r="C17" s="2">
        <f t="shared" si="0"/>
        <v>2396.5581930996918</v>
      </c>
      <c r="D17" s="2">
        <f t="shared" si="2"/>
        <v>2335.513786294322</v>
      </c>
    </row>
    <row r="18" spans="1:4" x14ac:dyDescent="0.2">
      <c r="A18" s="1">
        <v>16</v>
      </c>
      <c r="B18" s="2">
        <f t="shared" si="1"/>
        <v>2396.5581930996918</v>
      </c>
      <c r="C18" s="2">
        <f t="shared" si="0"/>
        <v>2540.3516846856733</v>
      </c>
      <c r="D18" s="2">
        <f t="shared" si="2"/>
        <v>2475.6446134719818</v>
      </c>
    </row>
    <row r="19" spans="1:4" x14ac:dyDescent="0.2">
      <c r="A19" s="1">
        <v>17</v>
      </c>
      <c r="B19" s="2">
        <f t="shared" si="1"/>
        <v>2540.3516846856733</v>
      </c>
      <c r="C19" s="2">
        <f t="shared" si="0"/>
        <v>2692.7727857668137</v>
      </c>
      <c r="D19" s="2">
        <f t="shared" si="2"/>
        <v>2624.1832902803008</v>
      </c>
    </row>
    <row r="20" spans="1:4" x14ac:dyDescent="0.2">
      <c r="A20" s="1">
        <v>18</v>
      </c>
      <c r="B20" s="2">
        <f t="shared" si="1"/>
        <v>2692.7727857668137</v>
      </c>
      <c r="C20" s="2">
        <f t="shared" si="0"/>
        <v>2854.3391529128226</v>
      </c>
      <c r="D20" s="2">
        <f t="shared" si="2"/>
        <v>2781.6342876971185</v>
      </c>
    </row>
    <row r="21" spans="1:4" x14ac:dyDescent="0.2">
      <c r="A21" s="1">
        <v>19</v>
      </c>
      <c r="B21" s="2">
        <f t="shared" si="1"/>
        <v>2854.3391529128226</v>
      </c>
      <c r="C21" s="2">
        <f t="shared" si="0"/>
        <v>3025.5995020875921</v>
      </c>
      <c r="D21" s="2">
        <f t="shared" si="2"/>
        <v>2948.5323449589459</v>
      </c>
    </row>
    <row r="22" spans="1:4" x14ac:dyDescent="0.2">
      <c r="A22" s="1">
        <v>20</v>
      </c>
      <c r="B22" s="2">
        <f t="shared" si="1"/>
        <v>3025.5995020875921</v>
      </c>
      <c r="C22" s="2">
        <f t="shared" si="0"/>
        <v>3207.1354722128476</v>
      </c>
      <c r="D22" s="2">
        <f t="shared" si="2"/>
        <v>3125.4442856564829</v>
      </c>
    </row>
    <row r="23" spans="1:4" x14ac:dyDescent="0.2">
      <c r="A23" s="1">
        <v>21</v>
      </c>
      <c r="B23" s="2">
        <f t="shared" si="1"/>
        <v>3207.1354722128476</v>
      </c>
      <c r="C23" s="2">
        <f t="shared" si="0"/>
        <v>3399.5636005456186</v>
      </c>
      <c r="D23" s="2">
        <f t="shared" si="2"/>
        <v>3312.9709427958715</v>
      </c>
    </row>
    <row r="24" spans="1:4" x14ac:dyDescent="0.2">
      <c r="A24" s="1">
        <v>22</v>
      </c>
      <c r="B24" s="2">
        <f t="shared" si="1"/>
        <v>3399.5636005456186</v>
      </c>
      <c r="C24" s="2">
        <f t="shared" si="0"/>
        <v>3603.537416578356</v>
      </c>
      <c r="D24" s="2">
        <f t="shared" si="2"/>
        <v>3511.749199363624</v>
      </c>
    </row>
    <row r="25" spans="1:4" x14ac:dyDescent="0.2">
      <c r="A25" s="1">
        <v>23</v>
      </c>
      <c r="B25" s="2">
        <f t="shared" si="1"/>
        <v>3603.537416578356</v>
      </c>
      <c r="C25" s="2">
        <f t="shared" si="0"/>
        <v>3819.7496615730574</v>
      </c>
      <c r="D25" s="2">
        <f t="shared" si="2"/>
        <v>3722.4541513254417</v>
      </c>
    </row>
    <row r="26" spans="1:4" x14ac:dyDescent="0.2">
      <c r="A26" s="1">
        <v>24</v>
      </c>
      <c r="B26" s="2">
        <f t="shared" si="1"/>
        <v>3819.7496615730574</v>
      </c>
      <c r="C26" s="2">
        <f t="shared" si="0"/>
        <v>4048.9346412674413</v>
      </c>
      <c r="D26" s="2">
        <f t="shared" si="2"/>
        <v>3945.8014004049687</v>
      </c>
    </row>
    <row r="27" spans="1:4" x14ac:dyDescent="0.2">
      <c r="A27" s="1">
        <v>25</v>
      </c>
      <c r="B27" s="2">
        <f t="shared" si="1"/>
        <v>4048.9346412674413</v>
      </c>
      <c r="C27" s="2">
        <f t="shared" si="0"/>
        <v>4291.8707197434878</v>
      </c>
      <c r="D27" s="2">
        <f t="shared" si="2"/>
        <v>4182.5494844292671</v>
      </c>
    </row>
    <row r="28" spans="1:4" x14ac:dyDescent="0.2">
      <c r="A28" s="1">
        <v>26</v>
      </c>
      <c r="B28" s="2">
        <f t="shared" si="1"/>
        <v>4291.8707197434878</v>
      </c>
      <c r="C28" s="2">
        <f t="shared" si="0"/>
        <v>4549.3829629280972</v>
      </c>
      <c r="D28" s="2">
        <f t="shared" si="2"/>
        <v>4433.5024534950226</v>
      </c>
    </row>
    <row r="29" spans="1:4" x14ac:dyDescent="0.2">
      <c r="A29" s="1">
        <v>27</v>
      </c>
      <c r="B29" s="2">
        <f t="shared" si="1"/>
        <v>4549.3829629280972</v>
      </c>
      <c r="C29" s="2">
        <f t="shared" si="0"/>
        <v>4822.3459407037835</v>
      </c>
      <c r="D29" s="2">
        <f t="shared" si="2"/>
        <v>4699.5126007047247</v>
      </c>
    </row>
    <row r="30" spans="1:4" x14ac:dyDescent="0.2">
      <c r="A30" s="1">
        <v>28</v>
      </c>
      <c r="B30" s="2">
        <f t="shared" si="1"/>
        <v>4822.3459407037835</v>
      </c>
      <c r="C30" s="2">
        <f t="shared" si="0"/>
        <v>5111.6866971460104</v>
      </c>
      <c r="D30" s="2">
        <f t="shared" si="2"/>
        <v>4981.4833567470087</v>
      </c>
    </row>
    <row r="31" spans="1:4" x14ac:dyDescent="0.2">
      <c r="A31" s="1">
        <v>29</v>
      </c>
      <c r="B31" s="2">
        <f t="shared" si="1"/>
        <v>5111.6866971460104</v>
      </c>
      <c r="C31" s="2">
        <f t="shared" si="0"/>
        <v>5418.3878989747709</v>
      </c>
      <c r="D31" s="2">
        <f t="shared" si="2"/>
        <v>5280.3723581518288</v>
      </c>
    </row>
    <row r="32" spans="1:4" x14ac:dyDescent="0.2">
      <c r="A32" s="1">
        <v>30</v>
      </c>
      <c r="B32" s="2">
        <f t="shared" si="1"/>
        <v>5418.3878989747709</v>
      </c>
      <c r="C32" s="2">
        <f t="shared" si="0"/>
        <v>5743.4911729132573</v>
      </c>
      <c r="D32" s="2">
        <f t="shared" si="2"/>
        <v>5597.1946996409388</v>
      </c>
    </row>
    <row r="33" spans="1:4" x14ac:dyDescent="0.2">
      <c r="A33" s="1">
        <v>31</v>
      </c>
      <c r="B33" s="2">
        <f t="shared" ref="B33:B42" si="3">C32</f>
        <v>5743.4911729132573</v>
      </c>
      <c r="C33" s="2">
        <f t="shared" si="0"/>
        <v>6088.1006432880531</v>
      </c>
      <c r="D33" s="2">
        <f t="shared" si="2"/>
        <v>5933.0263816193947</v>
      </c>
    </row>
    <row r="34" spans="1:4" x14ac:dyDescent="0.2">
      <c r="A34" s="1">
        <v>32</v>
      </c>
      <c r="B34" s="2">
        <f t="shared" si="3"/>
        <v>6088.1006432880531</v>
      </c>
      <c r="C34" s="2">
        <f t="shared" si="0"/>
        <v>6453.3866818853367</v>
      </c>
      <c r="D34" s="2">
        <f t="shared" si="2"/>
        <v>6289.0079645165588</v>
      </c>
    </row>
    <row r="35" spans="1:4" x14ac:dyDescent="0.2">
      <c r="A35" s="1">
        <v>33</v>
      </c>
      <c r="B35" s="2">
        <f t="shared" si="3"/>
        <v>6453.3866818853367</v>
      </c>
      <c r="C35" s="2">
        <f t="shared" si="0"/>
        <v>6840.5898827984574</v>
      </c>
      <c r="D35" s="2">
        <f t="shared" si="2"/>
        <v>6666.3484423875534</v>
      </c>
    </row>
    <row r="36" spans="1:4" x14ac:dyDescent="0.2">
      <c r="A36" s="1">
        <v>34</v>
      </c>
      <c r="B36" s="2">
        <f t="shared" si="3"/>
        <v>6840.5898827984574</v>
      </c>
      <c r="C36" s="2">
        <f t="shared" si="0"/>
        <v>7251.0252757663657</v>
      </c>
      <c r="D36" s="2">
        <f t="shared" si="2"/>
        <v>7066.3293489308071</v>
      </c>
    </row>
    <row r="37" spans="1:4" x14ac:dyDescent="0.2">
      <c r="A37" s="1">
        <v>35</v>
      </c>
      <c r="B37" s="2">
        <f t="shared" si="3"/>
        <v>7251.0252757663657</v>
      </c>
      <c r="C37" s="2">
        <f t="shared" si="0"/>
        <v>7686.0867923123478</v>
      </c>
      <c r="D37" s="2">
        <f t="shared" si="2"/>
        <v>7490.3091098666555</v>
      </c>
    </row>
    <row r="38" spans="1:4" x14ac:dyDescent="0.2">
      <c r="A38" s="1">
        <v>36</v>
      </c>
      <c r="B38" s="2">
        <f t="shared" si="3"/>
        <v>7686.0867923123478</v>
      </c>
      <c r="C38" s="2">
        <f t="shared" si="0"/>
        <v>8147.2519998510888</v>
      </c>
      <c r="D38" s="2">
        <f t="shared" si="2"/>
        <v>7939.7276564586555</v>
      </c>
    </row>
    <row r="39" spans="1:4" x14ac:dyDescent="0.2">
      <c r="A39" s="1">
        <v>37</v>
      </c>
      <c r="B39" s="2">
        <f t="shared" si="3"/>
        <v>8147.2519998510888</v>
      </c>
      <c r="C39" s="2">
        <f t="shared" si="0"/>
        <v>8636.0871198421537</v>
      </c>
      <c r="D39" s="2">
        <f t="shared" si="2"/>
        <v>8416.111315846174</v>
      </c>
    </row>
    <row r="40" spans="1:4" x14ac:dyDescent="0.2">
      <c r="A40" s="1">
        <v>38</v>
      </c>
      <c r="B40" s="2">
        <f t="shared" si="3"/>
        <v>8636.0871198421537</v>
      </c>
      <c r="C40" s="2">
        <f t="shared" si="0"/>
        <v>9154.2523470326832</v>
      </c>
      <c r="D40" s="2">
        <f t="shared" ref="D40:D71" si="4">IF(Penalty&gt;0,B40+(C40-B40)*(1-Penalty-OIRate),C40)</f>
        <v>8921.0779947969459</v>
      </c>
    </row>
    <row r="41" spans="1:4" x14ac:dyDescent="0.2">
      <c r="A41" s="1">
        <v>39</v>
      </c>
      <c r="B41" s="2">
        <f t="shared" si="3"/>
        <v>9154.2523470326832</v>
      </c>
      <c r="C41" s="2">
        <f t="shared" si="0"/>
        <v>9703.5074878546438</v>
      </c>
      <c r="D41" s="2">
        <f t="shared" si="4"/>
        <v>9456.342674484762</v>
      </c>
    </row>
    <row r="42" spans="1:4" x14ac:dyDescent="0.2">
      <c r="A42" s="1">
        <v>40</v>
      </c>
      <c r="B42" s="2">
        <f t="shared" si="3"/>
        <v>9703.5074878546438</v>
      </c>
      <c r="C42" s="2">
        <f t="shared" si="0"/>
        <v>10285.717937125923</v>
      </c>
      <c r="D42" s="2">
        <f t="shared" si="4"/>
        <v>10023.723234953846</v>
      </c>
    </row>
    <row r="43" spans="1:4" x14ac:dyDescent="0.2">
      <c r="A43" s="1">
        <v>41</v>
      </c>
      <c r="B43" s="2">
        <f t="shared" ref="B43:B103" si="5">C42</f>
        <v>10285.717937125923</v>
      </c>
      <c r="C43" s="2">
        <f t="shared" si="0"/>
        <v>10902.861013353478</v>
      </c>
      <c r="D43" s="2">
        <f t="shared" si="4"/>
        <v>10625.146629051078</v>
      </c>
    </row>
    <row r="44" spans="1:4" x14ac:dyDescent="0.2">
      <c r="A44" s="1">
        <v>42</v>
      </c>
      <c r="B44" s="2">
        <f t="shared" si="5"/>
        <v>10902.861013353478</v>
      </c>
      <c r="C44" s="2">
        <f t="shared" si="0"/>
        <v>11557.032674154687</v>
      </c>
      <c r="D44" s="2">
        <f t="shared" si="4"/>
        <v>11262.655426794143</v>
      </c>
    </row>
    <row r="45" spans="1:4" x14ac:dyDescent="0.2">
      <c r="A45" s="1">
        <v>43</v>
      </c>
      <c r="B45" s="2">
        <f t="shared" si="5"/>
        <v>11557.032674154687</v>
      </c>
      <c r="C45" s="2">
        <f t="shared" si="0"/>
        <v>12250.454634603968</v>
      </c>
      <c r="D45" s="2">
        <f t="shared" si="4"/>
        <v>11938.414752401792</v>
      </c>
    </row>
    <row r="46" spans="1:4" x14ac:dyDescent="0.2">
      <c r="A46" s="1">
        <v>44</v>
      </c>
      <c r="B46" s="2">
        <f t="shared" si="5"/>
        <v>12250.454634603968</v>
      </c>
      <c r="C46" s="2">
        <f t="shared" si="0"/>
        <v>12985.481912680207</v>
      </c>
      <c r="D46" s="2">
        <f t="shared" si="4"/>
        <v>12654.719637545899</v>
      </c>
    </row>
    <row r="47" spans="1:4" x14ac:dyDescent="0.2">
      <c r="A47" s="1">
        <v>45</v>
      </c>
      <c r="B47" s="2">
        <f t="shared" si="5"/>
        <v>12985.481912680207</v>
      </c>
      <c r="C47" s="2">
        <f t="shared" si="0"/>
        <v>13764.61082744102</v>
      </c>
      <c r="D47" s="2">
        <f t="shared" si="4"/>
        <v>13414.002815798654</v>
      </c>
    </row>
    <row r="48" spans="1:4" x14ac:dyDescent="0.2">
      <c r="A48" s="1">
        <v>46</v>
      </c>
      <c r="B48" s="2">
        <f t="shared" si="5"/>
        <v>13764.61082744102</v>
      </c>
      <c r="C48" s="2">
        <f t="shared" si="0"/>
        <v>14590.487477087481</v>
      </c>
      <c r="D48" s="2">
        <f t="shared" si="4"/>
        <v>14218.842984746574</v>
      </c>
    </row>
    <row r="49" spans="1:4" x14ac:dyDescent="0.2">
      <c r="A49" s="1">
        <v>47</v>
      </c>
      <c r="B49" s="2">
        <f t="shared" si="5"/>
        <v>14590.487477087481</v>
      </c>
      <c r="C49" s="2">
        <f t="shared" si="0"/>
        <v>15465.91672571273</v>
      </c>
      <c r="D49" s="2">
        <f t="shared" si="4"/>
        <v>15071.973563831369</v>
      </c>
    </row>
    <row r="50" spans="1:4" x14ac:dyDescent="0.2">
      <c r="A50" s="1">
        <v>48</v>
      </c>
      <c r="B50" s="2">
        <f t="shared" si="5"/>
        <v>15465.91672571273</v>
      </c>
      <c r="C50" s="2">
        <f t="shared" si="0"/>
        <v>16393.871729255494</v>
      </c>
      <c r="D50" s="2">
        <f t="shared" si="4"/>
        <v>15976.291977661251</v>
      </c>
    </row>
    <row r="51" spans="1:4" x14ac:dyDescent="0.2">
      <c r="A51" s="1">
        <v>49</v>
      </c>
      <c r="B51" s="2">
        <f t="shared" si="5"/>
        <v>16393.871729255494</v>
      </c>
      <c r="C51" s="2">
        <f t="shared" si="0"/>
        <v>17377.504033010824</v>
      </c>
      <c r="D51" s="2">
        <f t="shared" si="4"/>
        <v>16934.869496320927</v>
      </c>
    </row>
    <row r="52" spans="1:4" x14ac:dyDescent="0.2">
      <c r="A52" s="1">
        <v>50</v>
      </c>
      <c r="B52" s="2">
        <f t="shared" si="5"/>
        <v>17377.504033010824</v>
      </c>
      <c r="C52" s="2">
        <f t="shared" si="0"/>
        <v>18420.154274991473</v>
      </c>
      <c r="D52" s="2">
        <f t="shared" si="4"/>
        <v>17950.961666100182</v>
      </c>
    </row>
    <row r="53" spans="1:4" x14ac:dyDescent="0.2">
      <c r="A53" s="1">
        <v>51</v>
      </c>
      <c r="B53" s="2">
        <f t="shared" si="5"/>
        <v>18420.154274991473</v>
      </c>
      <c r="C53" s="2">
        <f t="shared" si="0"/>
        <v>19525.363531490962</v>
      </c>
      <c r="D53" s="2">
        <f t="shared" si="4"/>
        <v>19028.019366066193</v>
      </c>
    </row>
    <row r="54" spans="1:4" x14ac:dyDescent="0.2">
      <c r="A54" s="1">
        <v>52</v>
      </c>
      <c r="B54" s="2">
        <f t="shared" si="5"/>
        <v>19525.363531490962</v>
      </c>
      <c r="C54" s="2">
        <f t="shared" si="0"/>
        <v>20696.885343380422</v>
      </c>
      <c r="D54" s="2">
        <f t="shared" si="4"/>
        <v>20169.700528030164</v>
      </c>
    </row>
    <row r="55" spans="1:4" x14ac:dyDescent="0.2">
      <c r="A55" s="1">
        <v>53</v>
      </c>
      <c r="B55" s="2">
        <f t="shared" si="5"/>
        <v>20696.885343380422</v>
      </c>
      <c r="C55" s="2">
        <f t="shared" si="0"/>
        <v>21938.698463983248</v>
      </c>
      <c r="D55" s="2">
        <f t="shared" si="4"/>
        <v>21379.882559711976</v>
      </c>
    </row>
    <row r="56" spans="1:4" x14ac:dyDescent="0.2">
      <c r="A56" s="1">
        <v>54</v>
      </c>
      <c r="B56" s="2">
        <f t="shared" si="5"/>
        <v>21938.698463983248</v>
      </c>
      <c r="C56" s="2">
        <f t="shared" si="0"/>
        <v>23255.020371822244</v>
      </c>
      <c r="D56" s="2">
        <f t="shared" si="4"/>
        <v>22662.675513294696</v>
      </c>
    </row>
    <row r="57" spans="1:4" x14ac:dyDescent="0.2">
      <c r="A57" s="1">
        <v>55</v>
      </c>
      <c r="B57" s="2">
        <f t="shared" si="5"/>
        <v>23255.020371822244</v>
      </c>
      <c r="C57" s="2">
        <f t="shared" si="0"/>
        <v>24650.321594131579</v>
      </c>
      <c r="D57" s="2">
        <f t="shared" si="4"/>
        <v>24022.436044092377</v>
      </c>
    </row>
    <row r="58" spans="1:4" x14ac:dyDescent="0.2">
      <c r="A58" s="1">
        <v>56</v>
      </c>
      <c r="B58" s="2">
        <f t="shared" si="5"/>
        <v>24650.321594131579</v>
      </c>
      <c r="C58" s="2">
        <f t="shared" si="0"/>
        <v>26129.340889779476</v>
      </c>
      <c r="D58" s="2">
        <f t="shared" si="4"/>
        <v>25463.782206737924</v>
      </c>
    </row>
    <row r="59" spans="1:4" x14ac:dyDescent="0.2">
      <c r="A59" s="1">
        <v>57</v>
      </c>
      <c r="B59" s="2">
        <f t="shared" si="5"/>
        <v>26129.340889779476</v>
      </c>
      <c r="C59" s="2">
        <f t="shared" si="0"/>
        <v>27697.101343166247</v>
      </c>
      <c r="D59" s="2">
        <f t="shared" si="4"/>
        <v>26991.609139142201</v>
      </c>
    </row>
    <row r="60" spans="1:4" x14ac:dyDescent="0.2">
      <c r="A60" s="1">
        <v>58</v>
      </c>
      <c r="B60" s="2">
        <f t="shared" si="5"/>
        <v>27697.101343166247</v>
      </c>
      <c r="C60" s="2">
        <f t="shared" si="0"/>
        <v>29358.927423756224</v>
      </c>
      <c r="D60" s="2">
        <f t="shared" si="4"/>
        <v>28611.105687490734</v>
      </c>
    </row>
    <row r="61" spans="1:4" x14ac:dyDescent="0.2">
      <c r="A61" s="1">
        <v>59</v>
      </c>
      <c r="B61" s="2">
        <f t="shared" si="5"/>
        <v>29358.927423756224</v>
      </c>
      <c r="C61" s="2">
        <f t="shared" si="0"/>
        <v>31120.463069181598</v>
      </c>
      <c r="D61" s="2">
        <f t="shared" si="4"/>
        <v>30327.772028740179</v>
      </c>
    </row>
    <row r="62" spans="1:4" x14ac:dyDescent="0.2">
      <c r="A62" s="1">
        <v>60</v>
      </c>
      <c r="B62" s="2">
        <f t="shared" si="5"/>
        <v>31120.463069181598</v>
      </c>
      <c r="C62" s="2">
        <f t="shared" si="0"/>
        <v>32987.690853332497</v>
      </c>
      <c r="D62" s="2">
        <f t="shared" si="4"/>
        <v>32147.438350464592</v>
      </c>
    </row>
    <row r="63" spans="1:4" x14ac:dyDescent="0.2">
      <c r="A63" s="1">
        <v>61</v>
      </c>
      <c r="B63" s="2">
        <f t="shared" si="5"/>
        <v>32987.690853332497</v>
      </c>
      <c r="C63" s="2">
        <f t="shared" si="0"/>
        <v>34966.952304532446</v>
      </c>
      <c r="D63" s="2">
        <f t="shared" si="4"/>
        <v>34076.284651492468</v>
      </c>
    </row>
    <row r="64" spans="1:4" x14ac:dyDescent="0.2">
      <c r="A64" s="1">
        <v>62</v>
      </c>
      <c r="B64" s="2">
        <f t="shared" si="5"/>
        <v>34966.952304532446</v>
      </c>
      <c r="C64" s="2">
        <f t="shared" si="0"/>
        <v>37064.969442804395</v>
      </c>
      <c r="D64" s="2">
        <f t="shared" si="4"/>
        <v>36120.861730582015</v>
      </c>
    </row>
    <row r="65" spans="1:4" x14ac:dyDescent="0.2">
      <c r="A65" s="1">
        <v>63</v>
      </c>
      <c r="B65" s="2">
        <f t="shared" si="5"/>
        <v>37064.969442804395</v>
      </c>
      <c r="C65" s="2">
        <f t="shared" si="0"/>
        <v>39288.867609372661</v>
      </c>
      <c r="D65" s="2">
        <f t="shared" si="4"/>
        <v>38288.11343441694</v>
      </c>
    </row>
    <row r="66" spans="1:4" x14ac:dyDescent="0.2">
      <c r="A66" s="1">
        <v>64</v>
      </c>
      <c r="B66" s="2">
        <f t="shared" si="5"/>
        <v>39288.867609372661</v>
      </c>
      <c r="C66" s="2">
        <f t="shared" si="0"/>
        <v>41646.199665935026</v>
      </c>
      <c r="D66" s="2">
        <f t="shared" si="4"/>
        <v>40585.400240481962</v>
      </c>
    </row>
    <row r="67" spans="1:4" x14ac:dyDescent="0.2">
      <c r="A67" s="1">
        <v>65</v>
      </c>
      <c r="B67" s="2">
        <f t="shared" si="5"/>
        <v>41646.199665935026</v>
      </c>
      <c r="C67" s="2">
        <f t="shared" ref="C67:C103" si="6">B67*(1+TotalReturn)</f>
        <v>44144.971645891128</v>
      </c>
      <c r="D67" s="2">
        <f t="shared" si="4"/>
        <v>43020.524254910881</v>
      </c>
    </row>
    <row r="68" spans="1:4" x14ac:dyDescent="0.2">
      <c r="A68" s="1">
        <v>66</v>
      </c>
      <c r="B68" s="2">
        <f t="shared" si="5"/>
        <v>44144.971645891128</v>
      </c>
      <c r="C68" s="2">
        <f t="shared" si="6"/>
        <v>46793.6699446446</v>
      </c>
      <c r="D68" s="2">
        <f t="shared" si="4"/>
        <v>45601.755710205536</v>
      </c>
    </row>
    <row r="69" spans="1:4" x14ac:dyDescent="0.2">
      <c r="A69" s="1">
        <v>67</v>
      </c>
      <c r="B69" s="2">
        <f t="shared" si="5"/>
        <v>46793.6699446446</v>
      </c>
      <c r="C69" s="2">
        <f t="shared" si="6"/>
        <v>49601.290141323276</v>
      </c>
      <c r="D69" s="2">
        <f t="shared" si="4"/>
        <v>48337.861052817869</v>
      </c>
    </row>
    <row r="70" spans="1:4" x14ac:dyDescent="0.2">
      <c r="A70" s="1">
        <v>68</v>
      </c>
      <c r="B70" s="2">
        <f t="shared" si="5"/>
        <v>49601.290141323276</v>
      </c>
      <c r="C70" s="2">
        <f t="shared" si="6"/>
        <v>52577.367549802671</v>
      </c>
      <c r="D70" s="2">
        <f t="shared" si="4"/>
        <v>51238.132715986947</v>
      </c>
    </row>
    <row r="71" spans="1:4" x14ac:dyDescent="0.2">
      <c r="A71" s="1">
        <v>69</v>
      </c>
      <c r="B71" s="2">
        <f t="shared" si="5"/>
        <v>52577.367549802671</v>
      </c>
      <c r="C71" s="2">
        <f t="shared" si="6"/>
        <v>55732.009602790837</v>
      </c>
      <c r="D71" s="2">
        <f t="shared" si="4"/>
        <v>54312.42067894616</v>
      </c>
    </row>
    <row r="72" spans="1:4" x14ac:dyDescent="0.2">
      <c r="A72" s="1">
        <v>70</v>
      </c>
      <c r="B72" s="2">
        <f t="shared" si="5"/>
        <v>55732.009602790837</v>
      </c>
      <c r="C72" s="2">
        <f t="shared" si="6"/>
        <v>59075.93017895829</v>
      </c>
      <c r="D72" s="2">
        <f t="shared" ref="D72:D103" si="7">IF(Penalty&gt;0,B72+(C72-B72)*(1-Penalty-OIRate),C72)</f>
        <v>57571.165919682935</v>
      </c>
    </row>
    <row r="73" spans="1:4" x14ac:dyDescent="0.2">
      <c r="A73" s="1">
        <v>71</v>
      </c>
      <c r="B73" s="2">
        <f t="shared" si="5"/>
        <v>59075.93017895829</v>
      </c>
      <c r="C73" s="2">
        <f t="shared" si="6"/>
        <v>62620.485989695793</v>
      </c>
      <c r="D73" s="2">
        <f t="shared" si="7"/>
        <v>61025.435874863913</v>
      </c>
    </row>
    <row r="74" spans="1:4" x14ac:dyDescent="0.2">
      <c r="A74" s="1">
        <v>72</v>
      </c>
      <c r="B74" s="2">
        <f t="shared" si="5"/>
        <v>62620.485989695793</v>
      </c>
      <c r="C74" s="2">
        <f t="shared" si="6"/>
        <v>66377.715149077543</v>
      </c>
      <c r="D74" s="2">
        <f t="shared" si="7"/>
        <v>64686.962027355752</v>
      </c>
    </row>
    <row r="75" spans="1:4" x14ac:dyDescent="0.2">
      <c r="A75" s="1">
        <v>73</v>
      </c>
      <c r="B75" s="2">
        <f t="shared" si="5"/>
        <v>66377.715149077543</v>
      </c>
      <c r="C75" s="2">
        <f t="shared" si="6"/>
        <v>70360.378058022194</v>
      </c>
      <c r="D75" s="2">
        <f t="shared" si="7"/>
        <v>68568.179748997107</v>
      </c>
    </row>
    <row r="76" spans="1:4" x14ac:dyDescent="0.2">
      <c r="A76" s="1">
        <v>74</v>
      </c>
      <c r="B76" s="2">
        <f t="shared" si="5"/>
        <v>70360.378058022194</v>
      </c>
      <c r="C76" s="2">
        <f t="shared" si="6"/>
        <v>74582.000741503536</v>
      </c>
      <c r="D76" s="2">
        <f t="shared" si="7"/>
        <v>72682.270533936928</v>
      </c>
    </row>
    <row r="77" spans="1:4" x14ac:dyDescent="0.2">
      <c r="A77" s="1">
        <v>75</v>
      </c>
      <c r="B77" s="2">
        <f t="shared" si="5"/>
        <v>74582.000741503536</v>
      </c>
      <c r="C77" s="2">
        <f t="shared" si="6"/>
        <v>79056.920785993745</v>
      </c>
      <c r="D77" s="2">
        <f t="shared" si="7"/>
        <v>77043.206765973155</v>
      </c>
    </row>
    <row r="78" spans="1:4" x14ac:dyDescent="0.2">
      <c r="A78" s="1">
        <v>76</v>
      </c>
      <c r="B78" s="2">
        <f t="shared" si="5"/>
        <v>79056.920785993745</v>
      </c>
      <c r="C78" s="2">
        <f t="shared" si="6"/>
        <v>83800.336033153377</v>
      </c>
      <c r="D78" s="2">
        <f t="shared" si="7"/>
        <v>81665.799171931547</v>
      </c>
    </row>
    <row r="79" spans="1:4" x14ac:dyDescent="0.2">
      <c r="A79" s="1">
        <v>77</v>
      </c>
      <c r="B79" s="2">
        <f t="shared" si="5"/>
        <v>83800.336033153377</v>
      </c>
      <c r="C79" s="2">
        <f t="shared" si="6"/>
        <v>88828.35619514258</v>
      </c>
      <c r="D79" s="2">
        <f t="shared" si="7"/>
        <v>86565.747122247441</v>
      </c>
    </row>
    <row r="80" spans="1:4" x14ac:dyDescent="0.2">
      <c r="A80" s="1">
        <v>78</v>
      </c>
      <c r="B80" s="2">
        <f t="shared" si="5"/>
        <v>88828.35619514258</v>
      </c>
      <c r="C80" s="2">
        <f t="shared" si="6"/>
        <v>94158.057566851145</v>
      </c>
      <c r="D80" s="2">
        <f t="shared" si="7"/>
        <v>91759.691949582295</v>
      </c>
    </row>
    <row r="81" spans="1:4" x14ac:dyDescent="0.2">
      <c r="A81" s="1">
        <v>79</v>
      </c>
      <c r="B81" s="2">
        <f t="shared" si="5"/>
        <v>94158.057566851145</v>
      </c>
      <c r="C81" s="2">
        <f t="shared" si="6"/>
        <v>99807.54102086222</v>
      </c>
      <c r="D81" s="2">
        <f t="shared" si="7"/>
        <v>97265.273466557235</v>
      </c>
    </row>
    <row r="82" spans="1:4" x14ac:dyDescent="0.2">
      <c r="A82" s="1">
        <v>80</v>
      </c>
      <c r="B82" s="2">
        <f t="shared" si="5"/>
        <v>99807.54102086222</v>
      </c>
      <c r="C82" s="2">
        <f t="shared" si="6"/>
        <v>105795.99348211396</v>
      </c>
      <c r="D82" s="2">
        <f t="shared" si="7"/>
        <v>103101.18987455068</v>
      </c>
    </row>
    <row r="83" spans="1:4" x14ac:dyDescent="0.2">
      <c r="A83" s="1">
        <v>81</v>
      </c>
      <c r="B83" s="2">
        <f t="shared" si="5"/>
        <v>105795.99348211396</v>
      </c>
      <c r="C83" s="2">
        <f t="shared" si="6"/>
        <v>112143.75309104081</v>
      </c>
      <c r="D83" s="2">
        <f t="shared" si="7"/>
        <v>109287.26126702373</v>
      </c>
    </row>
    <row r="84" spans="1:4" x14ac:dyDescent="0.2">
      <c r="A84" s="1">
        <v>82</v>
      </c>
      <c r="B84" s="2">
        <f t="shared" si="5"/>
        <v>112143.75309104081</v>
      </c>
      <c r="C84" s="2">
        <f t="shared" si="6"/>
        <v>118872.37827650327</v>
      </c>
      <c r="D84" s="2">
        <f t="shared" si="7"/>
        <v>115844.49694304516</v>
      </c>
    </row>
    <row r="85" spans="1:4" x14ac:dyDescent="0.2">
      <c r="A85" s="1">
        <v>83</v>
      </c>
      <c r="B85" s="2">
        <f t="shared" si="5"/>
        <v>118872.37827650327</v>
      </c>
      <c r="C85" s="2">
        <f t="shared" si="6"/>
        <v>126004.72097309347</v>
      </c>
      <c r="D85" s="2">
        <f t="shared" si="7"/>
        <v>122795.16675962789</v>
      </c>
    </row>
    <row r="86" spans="1:4" x14ac:dyDescent="0.2">
      <c r="A86" s="1">
        <v>84</v>
      </c>
      <c r="B86" s="2">
        <f t="shared" si="5"/>
        <v>126004.72097309347</v>
      </c>
      <c r="C86" s="2">
        <f t="shared" si="6"/>
        <v>133565.00423147908</v>
      </c>
      <c r="D86" s="2">
        <f t="shared" si="7"/>
        <v>130162.87676520555</v>
      </c>
    </row>
    <row r="87" spans="1:4" x14ac:dyDescent="0.2">
      <c r="A87" s="1">
        <v>85</v>
      </c>
      <c r="B87" s="2">
        <f t="shared" si="5"/>
        <v>133565.00423147908</v>
      </c>
      <c r="C87" s="2">
        <f t="shared" si="6"/>
        <v>141578.90448536782</v>
      </c>
      <c r="D87" s="2">
        <f t="shared" si="7"/>
        <v>137972.64937111788</v>
      </c>
    </row>
    <row r="88" spans="1:4" x14ac:dyDescent="0.2">
      <c r="A88" s="1">
        <v>86</v>
      </c>
      <c r="B88" s="2">
        <f t="shared" si="5"/>
        <v>141578.90448536782</v>
      </c>
      <c r="C88" s="2">
        <f t="shared" si="6"/>
        <v>150073.63875448989</v>
      </c>
      <c r="D88" s="2">
        <f t="shared" si="7"/>
        <v>146251.00833338496</v>
      </c>
    </row>
    <row r="89" spans="1:4" x14ac:dyDescent="0.2">
      <c r="A89" s="1">
        <v>87</v>
      </c>
      <c r="B89" s="2">
        <f t="shared" si="5"/>
        <v>150073.63875448989</v>
      </c>
      <c r="C89" s="2">
        <f t="shared" si="6"/>
        <v>159078.05707975928</v>
      </c>
      <c r="D89" s="2">
        <f t="shared" si="7"/>
        <v>155026.06883338807</v>
      </c>
    </row>
    <row r="90" spans="1:4" x14ac:dyDescent="0.2">
      <c r="A90" s="1">
        <v>88</v>
      </c>
      <c r="B90" s="2">
        <f t="shared" si="5"/>
        <v>159078.05707975928</v>
      </c>
      <c r="C90" s="2">
        <f t="shared" si="6"/>
        <v>168622.74050454484</v>
      </c>
      <c r="D90" s="2">
        <f t="shared" si="7"/>
        <v>164327.63296339134</v>
      </c>
    </row>
    <row r="91" spans="1:4" x14ac:dyDescent="0.2">
      <c r="A91" s="1">
        <v>89</v>
      </c>
      <c r="B91" s="2">
        <f t="shared" si="5"/>
        <v>168622.74050454484</v>
      </c>
      <c r="C91" s="2">
        <f t="shared" si="6"/>
        <v>178740.10493481753</v>
      </c>
      <c r="D91" s="2">
        <f t="shared" si="7"/>
        <v>174187.29094119481</v>
      </c>
    </row>
    <row r="92" spans="1:4" x14ac:dyDescent="0.2">
      <c r="A92" s="1">
        <v>90</v>
      </c>
      <c r="B92" s="2">
        <f t="shared" si="5"/>
        <v>178740.10493481753</v>
      </c>
      <c r="C92" s="2">
        <f t="shared" si="6"/>
        <v>189464.51123090659</v>
      </c>
      <c r="D92" s="2">
        <f t="shared" si="7"/>
        <v>184638.52839766652</v>
      </c>
    </row>
    <row r="93" spans="1:4" x14ac:dyDescent="0.2">
      <c r="A93" s="1">
        <v>91</v>
      </c>
      <c r="B93" s="2">
        <f t="shared" si="5"/>
        <v>189464.51123090659</v>
      </c>
      <c r="C93" s="2">
        <f t="shared" si="6"/>
        <v>200832.38190476099</v>
      </c>
      <c r="D93" s="2">
        <f t="shared" si="7"/>
        <v>195716.8401015265</v>
      </c>
    </row>
    <row r="94" spans="1:4" x14ac:dyDescent="0.2">
      <c r="A94" s="1">
        <v>92</v>
      </c>
      <c r="B94" s="2">
        <f t="shared" si="5"/>
        <v>200832.38190476099</v>
      </c>
      <c r="C94" s="2">
        <f t="shared" si="6"/>
        <v>212882.32481904665</v>
      </c>
      <c r="D94" s="2">
        <f t="shared" si="7"/>
        <v>207459.8505076181</v>
      </c>
    </row>
    <row r="95" spans="1:4" x14ac:dyDescent="0.2">
      <c r="A95" s="1">
        <v>93</v>
      </c>
      <c r="B95" s="2">
        <f t="shared" si="5"/>
        <v>212882.32481904665</v>
      </c>
      <c r="C95" s="2">
        <f t="shared" si="6"/>
        <v>225655.26430818948</v>
      </c>
      <c r="D95" s="2">
        <f t="shared" si="7"/>
        <v>219907.44153807522</v>
      </c>
    </row>
    <row r="96" spans="1:4" x14ac:dyDescent="0.2">
      <c r="A96" s="1">
        <v>94</v>
      </c>
      <c r="B96" s="2">
        <f t="shared" si="5"/>
        <v>225655.26430818948</v>
      </c>
      <c r="C96" s="2">
        <f t="shared" si="6"/>
        <v>239194.58016668085</v>
      </c>
      <c r="D96" s="2">
        <f t="shared" si="7"/>
        <v>233101.88803035973</v>
      </c>
    </row>
    <row r="97" spans="1:4" x14ac:dyDescent="0.2">
      <c r="A97" s="1">
        <v>95</v>
      </c>
      <c r="B97" s="2">
        <f t="shared" si="5"/>
        <v>239194.58016668085</v>
      </c>
      <c r="C97" s="2">
        <f t="shared" si="6"/>
        <v>253546.25497668172</v>
      </c>
      <c r="D97" s="2">
        <f t="shared" si="7"/>
        <v>247088.00131218132</v>
      </c>
    </row>
    <row r="98" spans="1:4" x14ac:dyDescent="0.2">
      <c r="A98" s="1">
        <v>96</v>
      </c>
      <c r="B98" s="2">
        <f t="shared" si="5"/>
        <v>253546.25497668172</v>
      </c>
      <c r="C98" s="2">
        <f t="shared" si="6"/>
        <v>268759.03027528262</v>
      </c>
      <c r="D98" s="2">
        <f t="shared" si="7"/>
        <v>261913.28139091222</v>
      </c>
    </row>
    <row r="99" spans="1:4" x14ac:dyDescent="0.2">
      <c r="A99" s="1">
        <v>97</v>
      </c>
      <c r="B99" s="2">
        <f t="shared" si="5"/>
        <v>268759.03027528262</v>
      </c>
      <c r="C99" s="2">
        <f t="shared" si="6"/>
        <v>284884.57209179958</v>
      </c>
      <c r="D99" s="2">
        <f t="shared" si="7"/>
        <v>277628.07827436697</v>
      </c>
    </row>
    <row r="100" spans="1:4" x14ac:dyDescent="0.2">
      <c r="A100" s="1">
        <v>98</v>
      </c>
      <c r="B100" s="2">
        <f t="shared" si="5"/>
        <v>284884.57209179958</v>
      </c>
      <c r="C100" s="2">
        <f t="shared" si="6"/>
        <v>301977.64641730755</v>
      </c>
      <c r="D100" s="2">
        <f t="shared" si="7"/>
        <v>294285.76297082898</v>
      </c>
    </row>
    <row r="101" spans="1:4" x14ac:dyDescent="0.2">
      <c r="A101" s="1">
        <v>99</v>
      </c>
      <c r="B101" s="2">
        <f t="shared" si="5"/>
        <v>301977.64641730755</v>
      </c>
      <c r="C101" s="2">
        <f t="shared" si="6"/>
        <v>320096.305202346</v>
      </c>
      <c r="D101" s="2">
        <f t="shared" si="7"/>
        <v>311942.90874907869</v>
      </c>
    </row>
    <row r="102" spans="1:4" x14ac:dyDescent="0.2">
      <c r="A102" s="1">
        <v>100</v>
      </c>
      <c r="B102" s="2">
        <f t="shared" si="5"/>
        <v>320096.305202346</v>
      </c>
      <c r="C102" s="2">
        <f t="shared" si="6"/>
        <v>339302.08351448679</v>
      </c>
      <c r="D102" s="2">
        <f t="shared" si="7"/>
        <v>330659.48327402346</v>
      </c>
    </row>
    <row r="103" spans="1:4" x14ac:dyDescent="0.2">
      <c r="A103" s="1">
        <v>101</v>
      </c>
      <c r="B103" s="2">
        <f t="shared" si="5"/>
        <v>339302.08351448679</v>
      </c>
      <c r="C103" s="2">
        <f t="shared" si="6"/>
        <v>359660.20852535602</v>
      </c>
      <c r="D103" s="2">
        <f t="shared" si="7"/>
        <v>350499.05227046489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3"/>
  <sheetViews>
    <sheetView workbookViewId="0"/>
  </sheetViews>
  <sheetFormatPr defaultRowHeight="12.75" x14ac:dyDescent="0.2"/>
  <cols>
    <col min="1" max="1" width="7" bestFit="1" customWidth="1"/>
    <col min="2" max="3" width="14.42578125" bestFit="1" customWidth="1"/>
    <col min="4" max="4" width="13.42578125" bestFit="1" customWidth="1"/>
    <col min="5" max="5" width="12.28515625" bestFit="1" customWidth="1"/>
    <col min="6" max="6" width="13.42578125" bestFit="1" customWidth="1"/>
    <col min="7" max="8" width="14.42578125" bestFit="1" customWidth="1"/>
    <col min="9" max="9" width="13.42578125" bestFit="1" customWidth="1"/>
    <col min="10" max="10" width="14" bestFit="1" customWidth="1"/>
    <col min="11" max="13" width="14.42578125" bestFit="1" customWidth="1"/>
  </cols>
  <sheetData>
    <row r="1" spans="1:13" x14ac:dyDescent="0.2">
      <c r="A1" s="3"/>
      <c r="B1" s="4" t="s">
        <v>9</v>
      </c>
      <c r="C1" s="4" t="s">
        <v>10</v>
      </c>
      <c r="D1" s="4"/>
      <c r="E1" s="4" t="s">
        <v>4</v>
      </c>
      <c r="F1" s="4"/>
      <c r="G1" s="4"/>
      <c r="H1" s="4" t="s">
        <v>12</v>
      </c>
      <c r="I1" s="4" t="s">
        <v>14</v>
      </c>
      <c r="J1" s="4" t="s">
        <v>4</v>
      </c>
      <c r="K1" s="4"/>
      <c r="L1" s="4" t="s">
        <v>17</v>
      </c>
      <c r="M1" s="4" t="s">
        <v>6</v>
      </c>
    </row>
    <row r="2" spans="1:13" x14ac:dyDescent="0.2">
      <c r="A2" s="3" t="s">
        <v>8</v>
      </c>
      <c r="B2" s="4" t="s">
        <v>7</v>
      </c>
      <c r="C2" s="4" t="s">
        <v>11</v>
      </c>
      <c r="D2" s="4" t="s">
        <v>28</v>
      </c>
      <c r="E2" s="4" t="s">
        <v>28</v>
      </c>
      <c r="F2" s="4" t="s">
        <v>27</v>
      </c>
      <c r="G2" s="4" t="s">
        <v>3</v>
      </c>
      <c r="H2" s="4" t="s">
        <v>13</v>
      </c>
      <c r="I2" s="4" t="s">
        <v>15</v>
      </c>
      <c r="J2" s="4" t="s">
        <v>5</v>
      </c>
      <c r="K2" s="4" t="s">
        <v>16</v>
      </c>
      <c r="L2" s="4" t="s">
        <v>7</v>
      </c>
      <c r="M2" s="4" t="s">
        <v>7</v>
      </c>
    </row>
    <row r="3" spans="1:13" x14ac:dyDescent="0.2">
      <c r="A3" s="1">
        <v>1</v>
      </c>
      <c r="B3" s="2">
        <f>InitInv</f>
        <v>1000</v>
      </c>
      <c r="C3" s="2">
        <f>InitInv</f>
        <v>1000</v>
      </c>
      <c r="D3" s="2">
        <f t="shared" ref="D3:D34" si="0">B3*YieldRate</f>
        <v>60</v>
      </c>
      <c r="E3" s="2">
        <f>-IF(YieldTax=Summary!$A$19,OIRate,IF(YieldTax=Summary!$A$20,LTCGRate,"error"))*D3</f>
        <v>-21</v>
      </c>
      <c r="F3" s="2">
        <f t="shared" ref="F3:F34" si="1">B3*GrowthRate</f>
        <v>0</v>
      </c>
      <c r="G3" s="2">
        <f t="shared" ref="G3:G34" si="2">(B3+F3)*Turnover</f>
        <v>100</v>
      </c>
      <c r="H3" s="2">
        <f t="shared" ref="H3:H34" si="3">C3*Turnover</f>
        <v>100</v>
      </c>
      <c r="I3" s="2">
        <f t="shared" ref="I3:I4" si="4">(G3-H3)</f>
        <v>0</v>
      </c>
      <c r="J3" s="2">
        <f>-IF(GrowthTax=Summary!$A$20,LTCGRate,IF(GrowthTax=Summary!$A$19,OIRate,"error"))*I3</f>
        <v>0</v>
      </c>
      <c r="K3" s="2">
        <f>G3+J3+D3+E3</f>
        <v>139</v>
      </c>
      <c r="L3" s="2">
        <f>B3+D3+E3+F3+J3</f>
        <v>1039</v>
      </c>
      <c r="M3" s="2">
        <f>L3-IF(GrowthTax=Summary!$A$20,LTCGRate,IF(GrowthTax=Summary!$A$19,OIRate,"error"))*(L3-C4)</f>
        <v>1039</v>
      </c>
    </row>
    <row r="4" spans="1:13" x14ac:dyDescent="0.2">
      <c r="A4" s="1">
        <v>2</v>
      </c>
      <c r="B4" s="2">
        <f>L3</f>
        <v>1039</v>
      </c>
      <c r="C4" s="2">
        <f t="shared" ref="C4:C35" si="5">C3-H3+K3</f>
        <v>1039</v>
      </c>
      <c r="D4" s="2">
        <f t="shared" si="0"/>
        <v>62.339999999999996</v>
      </c>
      <c r="E4" s="2">
        <f>-IF(YieldTax=Summary!$A$19,OIRate,IF(YieldTax=Summary!$A$20,LTCGRate,"error"))*D4</f>
        <v>-21.818999999999999</v>
      </c>
      <c r="F4" s="2">
        <f t="shared" si="1"/>
        <v>0</v>
      </c>
      <c r="G4" s="2">
        <f t="shared" si="2"/>
        <v>103.9</v>
      </c>
      <c r="H4" s="2">
        <f t="shared" si="3"/>
        <v>103.9</v>
      </c>
      <c r="I4" s="2">
        <f t="shared" si="4"/>
        <v>0</v>
      </c>
      <c r="J4" s="2">
        <f>-IF(GrowthTax=Summary!$A$20,LTCGRate,IF(GrowthTax=Summary!$A$19,OIRate,"error"))*I4</f>
        <v>0</v>
      </c>
      <c r="K4" s="2">
        <f t="shared" ref="K4:K67" si="6">G4+J4+D4+E4</f>
        <v>144.42100000000002</v>
      </c>
      <c r="L4" s="2">
        <f>B4+D4+E4+F4+J4</f>
        <v>1079.521</v>
      </c>
      <c r="M4" s="2">
        <f>L4-IF(GrowthTax=Summary!$A$20,LTCGRate,IF(GrowthTax=Summary!$A$19,OIRate,"error"))*(L4-C5)</f>
        <v>1079.521</v>
      </c>
    </row>
    <row r="5" spans="1:13" x14ac:dyDescent="0.2">
      <c r="A5" s="1">
        <v>3</v>
      </c>
      <c r="B5" s="2">
        <f t="shared" ref="B5:B68" si="7">L4</f>
        <v>1079.521</v>
      </c>
      <c r="C5" s="2">
        <f t="shared" si="5"/>
        <v>1079.521</v>
      </c>
      <c r="D5" s="2">
        <f t="shared" si="0"/>
        <v>64.771259999999998</v>
      </c>
      <c r="E5" s="2">
        <f>-IF(YieldTax=Summary!$A$19,OIRate,IF(YieldTax=Summary!$A$20,LTCGRate,"error"))*D5</f>
        <v>-22.669940999999998</v>
      </c>
      <c r="F5" s="2">
        <f t="shared" si="1"/>
        <v>0</v>
      </c>
      <c r="G5" s="2">
        <f t="shared" si="2"/>
        <v>107.9521</v>
      </c>
      <c r="H5" s="2">
        <f t="shared" si="3"/>
        <v>107.9521</v>
      </c>
      <c r="I5" s="2">
        <f t="shared" ref="I5:I68" si="8">(G5-H5)</f>
        <v>0</v>
      </c>
      <c r="J5" s="2">
        <f>-IF(GrowthTax=Summary!$A$20,LTCGRate,IF(GrowthTax=Summary!$A$19,OIRate,"error"))*I5</f>
        <v>0</v>
      </c>
      <c r="K5" s="2">
        <f t="shared" si="6"/>
        <v>150.05341900000002</v>
      </c>
      <c r="L5" s="2">
        <f t="shared" ref="L5:L68" si="9">B5+D5+E5+F5+J5</f>
        <v>1121.6223189999998</v>
      </c>
      <c r="M5" s="2">
        <f>L5-IF(GrowthTax=Summary!$A$20,LTCGRate,IF(GrowthTax=Summary!$A$19,OIRate,"error"))*(L5-C6)</f>
        <v>1121.6223189999998</v>
      </c>
    </row>
    <row r="6" spans="1:13" x14ac:dyDescent="0.2">
      <c r="A6" s="1">
        <v>4</v>
      </c>
      <c r="B6" s="2">
        <f t="shared" si="7"/>
        <v>1121.6223189999998</v>
      </c>
      <c r="C6" s="2">
        <f t="shared" si="5"/>
        <v>1121.6223190000001</v>
      </c>
      <c r="D6" s="2">
        <f t="shared" si="0"/>
        <v>67.297339139999991</v>
      </c>
      <c r="E6" s="2">
        <f>-IF(YieldTax=Summary!$A$19,OIRate,IF(YieldTax=Summary!$A$20,LTCGRate,"error"))*D6</f>
        <v>-23.554068698999995</v>
      </c>
      <c r="F6" s="2">
        <f t="shared" si="1"/>
        <v>0</v>
      </c>
      <c r="G6" s="2">
        <f t="shared" si="2"/>
        <v>112.16223189999999</v>
      </c>
      <c r="H6" s="2">
        <f t="shared" si="3"/>
        <v>112.16223190000001</v>
      </c>
      <c r="I6" s="2">
        <f t="shared" si="8"/>
        <v>-1.4210854715202004E-14</v>
      </c>
      <c r="J6" s="2">
        <f>-IF(GrowthTax=Summary!$A$20,LTCGRate,IF(GrowthTax=Summary!$A$19,OIRate,"error"))*I6</f>
        <v>4.973799150320701E-15</v>
      </c>
      <c r="K6" s="2">
        <f t="shared" si="6"/>
        <v>155.90550234099999</v>
      </c>
      <c r="L6" s="2">
        <f t="shared" si="9"/>
        <v>1165.3655894409999</v>
      </c>
      <c r="M6" s="2">
        <f>L6-IF(GrowthTax=Summary!$A$20,LTCGRate,IF(GrowthTax=Summary!$A$19,OIRate,"error"))*(L6-C7)</f>
        <v>1165.3655894409999</v>
      </c>
    </row>
    <row r="7" spans="1:13" x14ac:dyDescent="0.2">
      <c r="A7" s="1">
        <v>5</v>
      </c>
      <c r="B7" s="2">
        <f t="shared" si="7"/>
        <v>1165.3655894409999</v>
      </c>
      <c r="C7" s="2">
        <f t="shared" si="5"/>
        <v>1165.3655894409999</v>
      </c>
      <c r="D7" s="2">
        <f t="shared" si="0"/>
        <v>69.921935366459991</v>
      </c>
      <c r="E7" s="2">
        <f>-IF(YieldTax=Summary!$A$19,OIRate,IF(YieldTax=Summary!$A$20,LTCGRate,"error"))*D7</f>
        <v>-24.472677378260997</v>
      </c>
      <c r="F7" s="2">
        <f t="shared" si="1"/>
        <v>0</v>
      </c>
      <c r="G7" s="2">
        <f t="shared" si="2"/>
        <v>116.53655894409999</v>
      </c>
      <c r="H7" s="2">
        <f t="shared" si="3"/>
        <v>116.53655894409999</v>
      </c>
      <c r="I7" s="2">
        <f t="shared" si="8"/>
        <v>0</v>
      </c>
      <c r="J7" s="2">
        <f>-IF(GrowthTax=Summary!$A$20,LTCGRate,IF(GrowthTax=Summary!$A$19,OIRate,"error"))*I7</f>
        <v>0</v>
      </c>
      <c r="K7" s="2">
        <f t="shared" si="6"/>
        <v>161.98581693229897</v>
      </c>
      <c r="L7" s="2">
        <f t="shared" si="9"/>
        <v>1210.8148474291988</v>
      </c>
      <c r="M7" s="2">
        <f>L7-IF(GrowthTax=Summary!$A$20,LTCGRate,IF(GrowthTax=Summary!$A$19,OIRate,"error"))*(L7-C8)</f>
        <v>1210.8148474291988</v>
      </c>
    </row>
    <row r="8" spans="1:13" x14ac:dyDescent="0.2">
      <c r="A8" s="1">
        <v>6</v>
      </c>
      <c r="B8" s="2">
        <f t="shared" si="7"/>
        <v>1210.8148474291988</v>
      </c>
      <c r="C8" s="2">
        <f t="shared" si="5"/>
        <v>1210.8148474291988</v>
      </c>
      <c r="D8" s="2">
        <f t="shared" si="0"/>
        <v>72.648890845751922</v>
      </c>
      <c r="E8" s="2">
        <f>-IF(YieldTax=Summary!$A$19,OIRate,IF(YieldTax=Summary!$A$20,LTCGRate,"error"))*D8</f>
        <v>-25.427111796013172</v>
      </c>
      <c r="F8" s="2">
        <f t="shared" si="1"/>
        <v>0</v>
      </c>
      <c r="G8" s="2">
        <f t="shared" si="2"/>
        <v>121.08148474291988</v>
      </c>
      <c r="H8" s="2">
        <f t="shared" si="3"/>
        <v>121.08148474291988</v>
      </c>
      <c r="I8" s="2">
        <f t="shared" si="8"/>
        <v>0</v>
      </c>
      <c r="J8" s="2">
        <f>-IF(GrowthTax=Summary!$A$20,LTCGRate,IF(GrowthTax=Summary!$A$19,OIRate,"error"))*I8</f>
        <v>0</v>
      </c>
      <c r="K8" s="2">
        <f t="shared" si="6"/>
        <v>168.30326379265861</v>
      </c>
      <c r="L8" s="2">
        <f t="shared" si="9"/>
        <v>1258.0366264789377</v>
      </c>
      <c r="M8" s="2">
        <f>L8-IF(GrowthTax=Summary!$A$20,LTCGRate,IF(GrowthTax=Summary!$A$19,OIRate,"error"))*(L8-C9)</f>
        <v>1258.0366264789377</v>
      </c>
    </row>
    <row r="9" spans="1:13" x14ac:dyDescent="0.2">
      <c r="A9" s="1">
        <v>7</v>
      </c>
      <c r="B9" s="2">
        <f t="shared" si="7"/>
        <v>1258.0366264789377</v>
      </c>
      <c r="C9" s="2">
        <f t="shared" si="5"/>
        <v>1258.0366264789375</v>
      </c>
      <c r="D9" s="2">
        <f t="shared" si="0"/>
        <v>75.482197588736256</v>
      </c>
      <c r="E9" s="2">
        <f>-IF(YieldTax=Summary!$A$19,OIRate,IF(YieldTax=Summary!$A$20,LTCGRate,"error"))*D9</f>
        <v>-26.418769156057689</v>
      </c>
      <c r="F9" s="2">
        <f t="shared" si="1"/>
        <v>0</v>
      </c>
      <c r="G9" s="2">
        <f t="shared" si="2"/>
        <v>125.80366264789377</v>
      </c>
      <c r="H9" s="2">
        <f t="shared" si="3"/>
        <v>125.80366264789376</v>
      </c>
      <c r="I9" s="2">
        <f t="shared" si="8"/>
        <v>1.4210854715202004E-14</v>
      </c>
      <c r="J9" s="2">
        <f>-IF(GrowthTax=Summary!$A$20,LTCGRate,IF(GrowthTax=Summary!$A$19,OIRate,"error"))*I9</f>
        <v>-4.973799150320701E-15</v>
      </c>
      <c r="K9" s="2">
        <f t="shared" si="6"/>
        <v>174.86709108057232</v>
      </c>
      <c r="L9" s="2">
        <f t="shared" si="9"/>
        <v>1307.1000549116163</v>
      </c>
      <c r="M9" s="2">
        <f>L9-IF(GrowthTax=Summary!$A$20,LTCGRate,IF(GrowthTax=Summary!$A$19,OIRate,"error"))*(L9-C10)</f>
        <v>1307.1000549116163</v>
      </c>
    </row>
    <row r="10" spans="1:13" x14ac:dyDescent="0.2">
      <c r="A10" s="1">
        <v>8</v>
      </c>
      <c r="B10" s="2">
        <f t="shared" si="7"/>
        <v>1307.1000549116163</v>
      </c>
      <c r="C10" s="2">
        <f t="shared" si="5"/>
        <v>1307.1000549116161</v>
      </c>
      <c r="D10" s="2">
        <f t="shared" si="0"/>
        <v>78.426003294696983</v>
      </c>
      <c r="E10" s="2">
        <f>-IF(YieldTax=Summary!$A$19,OIRate,IF(YieldTax=Summary!$A$20,LTCGRate,"error"))*D10</f>
        <v>-27.449101153143943</v>
      </c>
      <c r="F10" s="2">
        <f t="shared" si="1"/>
        <v>0</v>
      </c>
      <c r="G10" s="2">
        <f t="shared" si="2"/>
        <v>130.71000549116164</v>
      </c>
      <c r="H10" s="2">
        <f t="shared" si="3"/>
        <v>130.71000549116161</v>
      </c>
      <c r="I10" s="2">
        <f t="shared" si="8"/>
        <v>2.8421709430404007E-14</v>
      </c>
      <c r="J10" s="2">
        <f>-IF(GrowthTax=Summary!$A$20,LTCGRate,IF(GrowthTax=Summary!$A$19,OIRate,"error"))*I10</f>
        <v>-9.947598300641402E-15</v>
      </c>
      <c r="K10" s="2">
        <f t="shared" si="6"/>
        <v>181.68690763271468</v>
      </c>
      <c r="L10" s="2">
        <f t="shared" si="9"/>
        <v>1358.0769570531693</v>
      </c>
      <c r="M10" s="2">
        <f>L10-IF(GrowthTax=Summary!$A$20,LTCGRate,IF(GrowthTax=Summary!$A$19,OIRate,"error"))*(L10-C11)</f>
        <v>1358.0769570531693</v>
      </c>
    </row>
    <row r="11" spans="1:13" x14ac:dyDescent="0.2">
      <c r="A11" s="1">
        <v>9</v>
      </c>
      <c r="B11" s="2">
        <f t="shared" si="7"/>
        <v>1358.0769570531693</v>
      </c>
      <c r="C11" s="2">
        <f t="shared" si="5"/>
        <v>1358.0769570531693</v>
      </c>
      <c r="D11" s="2">
        <f t="shared" si="0"/>
        <v>81.484617423190159</v>
      </c>
      <c r="E11" s="2">
        <f>-IF(YieldTax=Summary!$A$19,OIRate,IF(YieldTax=Summary!$A$20,LTCGRate,"error"))*D11</f>
        <v>-28.519616098116554</v>
      </c>
      <c r="F11" s="2">
        <f t="shared" si="1"/>
        <v>0</v>
      </c>
      <c r="G11" s="2">
        <f t="shared" si="2"/>
        <v>135.80769570531695</v>
      </c>
      <c r="H11" s="2">
        <f t="shared" si="3"/>
        <v>135.80769570531695</v>
      </c>
      <c r="I11" s="2">
        <f t="shared" si="8"/>
        <v>0</v>
      </c>
      <c r="J11" s="2">
        <f>-IF(GrowthTax=Summary!$A$20,LTCGRate,IF(GrowthTax=Summary!$A$19,OIRate,"error"))*I11</f>
        <v>0</v>
      </c>
      <c r="K11" s="2">
        <f t="shared" si="6"/>
        <v>188.77269703039053</v>
      </c>
      <c r="L11" s="2">
        <f t="shared" si="9"/>
        <v>1411.041958378243</v>
      </c>
      <c r="M11" s="2">
        <f>L11-IF(GrowthTax=Summary!$A$20,LTCGRate,IF(GrowthTax=Summary!$A$19,OIRate,"error"))*(L11-C12)</f>
        <v>1411.041958378243</v>
      </c>
    </row>
    <row r="12" spans="1:13" x14ac:dyDescent="0.2">
      <c r="A12" s="1">
        <v>10</v>
      </c>
      <c r="B12" s="2">
        <f t="shared" si="7"/>
        <v>1411.041958378243</v>
      </c>
      <c r="C12" s="2">
        <f t="shared" si="5"/>
        <v>1411.0419583782427</v>
      </c>
      <c r="D12" s="2">
        <f t="shared" si="0"/>
        <v>84.66251750269457</v>
      </c>
      <c r="E12" s="2">
        <f>-IF(YieldTax=Summary!$A$19,OIRate,IF(YieldTax=Summary!$A$20,LTCGRate,"error"))*D12</f>
        <v>-29.631881125943096</v>
      </c>
      <c r="F12" s="2">
        <f t="shared" si="1"/>
        <v>0</v>
      </c>
      <c r="G12" s="2">
        <f t="shared" si="2"/>
        <v>141.10419583782431</v>
      </c>
      <c r="H12" s="2">
        <f t="shared" si="3"/>
        <v>141.10419583782428</v>
      </c>
      <c r="I12" s="2">
        <f t="shared" si="8"/>
        <v>2.8421709430404007E-14</v>
      </c>
      <c r="J12" s="2">
        <f>-IF(GrowthTax=Summary!$A$20,LTCGRate,IF(GrowthTax=Summary!$A$19,OIRate,"error"))*I12</f>
        <v>-9.947598300641402E-15</v>
      </c>
      <c r="K12" s="2">
        <f t="shared" si="6"/>
        <v>196.13483221457579</v>
      </c>
      <c r="L12" s="2">
        <f t="shared" si="9"/>
        <v>1466.0725947549945</v>
      </c>
      <c r="M12" s="2">
        <f>L12-IF(GrowthTax=Summary!$A$20,LTCGRate,IF(GrowthTax=Summary!$A$19,OIRate,"error"))*(L12-C13)</f>
        <v>1466.0725947549943</v>
      </c>
    </row>
    <row r="13" spans="1:13" x14ac:dyDescent="0.2">
      <c r="A13" s="1">
        <v>11</v>
      </c>
      <c r="B13" s="2">
        <f t="shared" si="7"/>
        <v>1466.0725947549945</v>
      </c>
      <c r="C13" s="2">
        <f t="shared" si="5"/>
        <v>1466.072594754994</v>
      </c>
      <c r="D13" s="2">
        <f t="shared" si="0"/>
        <v>87.964355685299665</v>
      </c>
      <c r="E13" s="2">
        <f>-IF(YieldTax=Summary!$A$19,OIRate,IF(YieldTax=Summary!$A$20,LTCGRate,"error"))*D13</f>
        <v>-30.787524489854881</v>
      </c>
      <c r="F13" s="2">
        <f t="shared" si="1"/>
        <v>0</v>
      </c>
      <c r="G13" s="2">
        <f t="shared" si="2"/>
        <v>146.60725947549946</v>
      </c>
      <c r="H13" s="2">
        <f t="shared" si="3"/>
        <v>146.6072594754994</v>
      </c>
      <c r="I13" s="2">
        <f t="shared" si="8"/>
        <v>5.6843418860808015E-14</v>
      </c>
      <c r="J13" s="2">
        <f>-IF(GrowthTax=Summary!$A$20,LTCGRate,IF(GrowthTax=Summary!$A$19,OIRate,"error"))*I13</f>
        <v>-1.9895196601282804E-14</v>
      </c>
      <c r="K13" s="2">
        <f t="shared" si="6"/>
        <v>203.78409067094421</v>
      </c>
      <c r="L13" s="2">
        <f t="shared" si="9"/>
        <v>1523.2494259504394</v>
      </c>
      <c r="M13" s="2">
        <f>L13-IF(GrowthTax=Summary!$A$20,LTCGRate,IF(GrowthTax=Summary!$A$19,OIRate,"error"))*(L13-C14)</f>
        <v>1523.2494259504392</v>
      </c>
    </row>
    <row r="14" spans="1:13" x14ac:dyDescent="0.2">
      <c r="A14" s="1">
        <v>12</v>
      </c>
      <c r="B14" s="2">
        <f t="shared" si="7"/>
        <v>1523.2494259504394</v>
      </c>
      <c r="C14" s="2">
        <f t="shared" si="5"/>
        <v>1523.2494259504388</v>
      </c>
      <c r="D14" s="2">
        <f t="shared" si="0"/>
        <v>91.394965557026367</v>
      </c>
      <c r="E14" s="2">
        <f>-IF(YieldTax=Summary!$A$19,OIRate,IF(YieldTax=Summary!$A$20,LTCGRate,"error"))*D14</f>
        <v>-31.988237944959227</v>
      </c>
      <c r="F14" s="2">
        <f t="shared" si="1"/>
        <v>0</v>
      </c>
      <c r="G14" s="2">
        <f t="shared" si="2"/>
        <v>152.32494259504395</v>
      </c>
      <c r="H14" s="2">
        <f t="shared" si="3"/>
        <v>152.32494259504389</v>
      </c>
      <c r="I14" s="2">
        <f t="shared" si="8"/>
        <v>5.6843418860808015E-14</v>
      </c>
      <c r="J14" s="2">
        <f>-IF(GrowthTax=Summary!$A$20,LTCGRate,IF(GrowthTax=Summary!$A$19,OIRate,"error"))*I14</f>
        <v>-1.9895196601282804E-14</v>
      </c>
      <c r="K14" s="2">
        <f t="shared" si="6"/>
        <v>211.73167020711105</v>
      </c>
      <c r="L14" s="2">
        <f t="shared" si="9"/>
        <v>1582.6561535625065</v>
      </c>
      <c r="M14" s="2">
        <f>L14-IF(GrowthTax=Summary!$A$20,LTCGRate,IF(GrowthTax=Summary!$A$19,OIRate,"error"))*(L14-C15)</f>
        <v>1582.6561535625062</v>
      </c>
    </row>
    <row r="15" spans="1:13" x14ac:dyDescent="0.2">
      <c r="A15" s="1">
        <v>13</v>
      </c>
      <c r="B15" s="2">
        <f t="shared" si="7"/>
        <v>1582.6561535625065</v>
      </c>
      <c r="C15" s="2">
        <f t="shared" si="5"/>
        <v>1582.656153562506</v>
      </c>
      <c r="D15" s="2">
        <f t="shared" si="0"/>
        <v>94.959369213750378</v>
      </c>
      <c r="E15" s="2">
        <f>-IF(YieldTax=Summary!$A$19,OIRate,IF(YieldTax=Summary!$A$20,LTCGRate,"error"))*D15</f>
        <v>-33.235779224812632</v>
      </c>
      <c r="F15" s="2">
        <f t="shared" si="1"/>
        <v>0</v>
      </c>
      <c r="G15" s="2">
        <f t="shared" si="2"/>
        <v>158.26561535625066</v>
      </c>
      <c r="H15" s="2">
        <f t="shared" si="3"/>
        <v>158.26561535625061</v>
      </c>
      <c r="I15" s="2">
        <f t="shared" si="8"/>
        <v>5.6843418860808015E-14</v>
      </c>
      <c r="J15" s="2">
        <f>-IF(GrowthTax=Summary!$A$20,LTCGRate,IF(GrowthTax=Summary!$A$19,OIRate,"error"))*I15</f>
        <v>-1.9895196601282804E-14</v>
      </c>
      <c r="K15" s="2">
        <f t="shared" si="6"/>
        <v>219.9892053451884</v>
      </c>
      <c r="L15" s="2">
        <f t="shared" si="9"/>
        <v>1644.3797435514441</v>
      </c>
      <c r="M15" s="2">
        <f>L15-IF(GrowthTax=Summary!$A$20,LTCGRate,IF(GrowthTax=Summary!$A$19,OIRate,"error"))*(L15-C16)</f>
        <v>1644.3797435514439</v>
      </c>
    </row>
    <row r="16" spans="1:13" x14ac:dyDescent="0.2">
      <c r="A16" s="1">
        <v>14</v>
      </c>
      <c r="B16" s="2">
        <f t="shared" si="7"/>
        <v>1644.3797435514441</v>
      </c>
      <c r="C16" s="2">
        <f t="shared" si="5"/>
        <v>1644.3797435514437</v>
      </c>
      <c r="D16" s="2">
        <f t="shared" si="0"/>
        <v>98.662784613086643</v>
      </c>
      <c r="E16" s="2">
        <f>-IF(YieldTax=Summary!$A$19,OIRate,IF(YieldTax=Summary!$A$20,LTCGRate,"error"))*D16</f>
        <v>-34.531974614580321</v>
      </c>
      <c r="F16" s="2">
        <f t="shared" si="1"/>
        <v>0</v>
      </c>
      <c r="G16" s="2">
        <f t="shared" si="2"/>
        <v>164.43797435514443</v>
      </c>
      <c r="H16" s="2">
        <f t="shared" si="3"/>
        <v>164.43797435514438</v>
      </c>
      <c r="I16" s="2">
        <f t="shared" si="8"/>
        <v>5.6843418860808015E-14</v>
      </c>
      <c r="J16" s="2">
        <f>-IF(GrowthTax=Summary!$A$20,LTCGRate,IF(GrowthTax=Summary!$A$19,OIRate,"error"))*I16</f>
        <v>-1.9895196601282804E-14</v>
      </c>
      <c r="K16" s="2">
        <f t="shared" si="6"/>
        <v>228.56878435365073</v>
      </c>
      <c r="L16" s="2">
        <f t="shared" si="9"/>
        <v>1708.5105535499504</v>
      </c>
      <c r="M16" s="2">
        <f>L16-IF(GrowthTax=Summary!$A$20,LTCGRate,IF(GrowthTax=Summary!$A$19,OIRate,"error"))*(L16-C17)</f>
        <v>1708.5105535499501</v>
      </c>
    </row>
    <row r="17" spans="1:13" x14ac:dyDescent="0.2">
      <c r="A17" s="1">
        <v>15</v>
      </c>
      <c r="B17" s="2">
        <f t="shared" si="7"/>
        <v>1708.5105535499504</v>
      </c>
      <c r="C17" s="2">
        <f t="shared" si="5"/>
        <v>1708.5105535499499</v>
      </c>
      <c r="D17" s="2">
        <f t="shared" si="0"/>
        <v>102.51063321299702</v>
      </c>
      <c r="E17" s="2">
        <f>-IF(YieldTax=Summary!$A$19,OIRate,IF(YieldTax=Summary!$A$20,LTCGRate,"error"))*D17</f>
        <v>-35.878721624548952</v>
      </c>
      <c r="F17" s="2">
        <f t="shared" si="1"/>
        <v>0</v>
      </c>
      <c r="G17" s="2">
        <f t="shared" si="2"/>
        <v>170.85105535499505</v>
      </c>
      <c r="H17" s="2">
        <f t="shared" si="3"/>
        <v>170.851055354995</v>
      </c>
      <c r="I17" s="2">
        <f t="shared" si="8"/>
        <v>5.6843418860808015E-14</v>
      </c>
      <c r="J17" s="2">
        <f>-IF(GrowthTax=Summary!$A$20,LTCGRate,IF(GrowthTax=Summary!$A$19,OIRate,"error"))*I17</f>
        <v>-1.9895196601282804E-14</v>
      </c>
      <c r="K17" s="2">
        <f t="shared" si="6"/>
        <v>237.48296694344307</v>
      </c>
      <c r="L17" s="2">
        <f t="shared" si="9"/>
        <v>1775.1424651383984</v>
      </c>
      <c r="M17" s="2">
        <f>L17-IF(GrowthTax=Summary!$A$20,LTCGRate,IF(GrowthTax=Summary!$A$19,OIRate,"error"))*(L17-C18)</f>
        <v>1775.1424651383982</v>
      </c>
    </row>
    <row r="18" spans="1:13" x14ac:dyDescent="0.2">
      <c r="A18" s="1">
        <v>16</v>
      </c>
      <c r="B18" s="2">
        <f t="shared" si="7"/>
        <v>1775.1424651383984</v>
      </c>
      <c r="C18" s="2">
        <f t="shared" si="5"/>
        <v>1775.1424651383979</v>
      </c>
      <c r="D18" s="2">
        <f t="shared" si="0"/>
        <v>106.5085479083039</v>
      </c>
      <c r="E18" s="2">
        <f>-IF(YieldTax=Summary!$A$19,OIRate,IF(YieldTax=Summary!$A$20,LTCGRate,"error"))*D18</f>
        <v>-37.277991767906364</v>
      </c>
      <c r="F18" s="2">
        <f t="shared" si="1"/>
        <v>0</v>
      </c>
      <c r="G18" s="2">
        <f t="shared" si="2"/>
        <v>177.51424651383985</v>
      </c>
      <c r="H18" s="2">
        <f t="shared" si="3"/>
        <v>177.51424651383979</v>
      </c>
      <c r="I18" s="2">
        <f t="shared" si="8"/>
        <v>5.6843418860808015E-14</v>
      </c>
      <c r="J18" s="2">
        <f>-IF(GrowthTax=Summary!$A$20,LTCGRate,IF(GrowthTax=Summary!$A$19,OIRate,"error"))*I18</f>
        <v>-1.9895196601282804E-14</v>
      </c>
      <c r="K18" s="2">
        <f t="shared" si="6"/>
        <v>246.74480265423733</v>
      </c>
      <c r="L18" s="2">
        <f t="shared" si="9"/>
        <v>1844.3730212787959</v>
      </c>
      <c r="M18" s="2">
        <f>L18-IF(GrowthTax=Summary!$A$20,LTCGRate,IF(GrowthTax=Summary!$A$19,OIRate,"error"))*(L18-C19)</f>
        <v>1844.3730212787957</v>
      </c>
    </row>
    <row r="19" spans="1:13" x14ac:dyDescent="0.2">
      <c r="A19" s="1">
        <v>17</v>
      </c>
      <c r="B19" s="2">
        <f t="shared" si="7"/>
        <v>1844.3730212787959</v>
      </c>
      <c r="C19" s="2">
        <f t="shared" si="5"/>
        <v>1844.3730212787955</v>
      </c>
      <c r="D19" s="2">
        <f t="shared" si="0"/>
        <v>110.66238127672776</v>
      </c>
      <c r="E19" s="2">
        <f>-IF(YieldTax=Summary!$A$19,OIRate,IF(YieldTax=Summary!$A$20,LTCGRate,"error"))*D19</f>
        <v>-38.731833446854715</v>
      </c>
      <c r="F19" s="2">
        <f t="shared" si="1"/>
        <v>0</v>
      </c>
      <c r="G19" s="2">
        <f t="shared" si="2"/>
        <v>184.4373021278796</v>
      </c>
      <c r="H19" s="2">
        <f t="shared" si="3"/>
        <v>184.43730212787955</v>
      </c>
      <c r="I19" s="2">
        <f t="shared" si="8"/>
        <v>5.6843418860808015E-14</v>
      </c>
      <c r="J19" s="2">
        <f>-IF(GrowthTax=Summary!$A$20,LTCGRate,IF(GrowthTax=Summary!$A$19,OIRate,"error"))*I19</f>
        <v>-1.9895196601282804E-14</v>
      </c>
      <c r="K19" s="2">
        <f t="shared" si="6"/>
        <v>256.36784995775264</v>
      </c>
      <c r="L19" s="2">
        <f t="shared" si="9"/>
        <v>1916.3035691086689</v>
      </c>
      <c r="M19" s="2">
        <f>L19-IF(GrowthTax=Summary!$A$20,LTCGRate,IF(GrowthTax=Summary!$A$19,OIRate,"error"))*(L19-C20)</f>
        <v>1916.3035691086689</v>
      </c>
    </row>
    <row r="20" spans="1:13" x14ac:dyDescent="0.2">
      <c r="A20" s="1">
        <v>18</v>
      </c>
      <c r="B20" s="2">
        <f t="shared" si="7"/>
        <v>1916.3035691086689</v>
      </c>
      <c r="C20" s="2">
        <f t="shared" si="5"/>
        <v>1916.3035691086686</v>
      </c>
      <c r="D20" s="2">
        <f t="shared" si="0"/>
        <v>114.97821414652013</v>
      </c>
      <c r="E20" s="2">
        <f>-IF(YieldTax=Summary!$A$19,OIRate,IF(YieldTax=Summary!$A$20,LTCGRate,"error"))*D20</f>
        <v>-40.242374951282045</v>
      </c>
      <c r="F20" s="2">
        <f t="shared" si="1"/>
        <v>0</v>
      </c>
      <c r="G20" s="2">
        <f t="shared" si="2"/>
        <v>191.63035691086691</v>
      </c>
      <c r="H20" s="2">
        <f t="shared" si="3"/>
        <v>191.63035691086688</v>
      </c>
      <c r="I20" s="2">
        <f t="shared" si="8"/>
        <v>2.8421709430404007E-14</v>
      </c>
      <c r="J20" s="2">
        <f>-IF(GrowthTax=Summary!$A$20,LTCGRate,IF(GrowthTax=Summary!$A$19,OIRate,"error"))*I20</f>
        <v>-9.947598300641402E-15</v>
      </c>
      <c r="K20" s="2">
        <f t="shared" si="6"/>
        <v>266.36619610610501</v>
      </c>
      <c r="L20" s="2">
        <f t="shared" si="9"/>
        <v>1991.0394083039068</v>
      </c>
      <c r="M20" s="2">
        <f>L20-IF(GrowthTax=Summary!$A$20,LTCGRate,IF(GrowthTax=Summary!$A$19,OIRate,"error"))*(L20-C21)</f>
        <v>1991.0394083039068</v>
      </c>
    </row>
    <row r="21" spans="1:13" x14ac:dyDescent="0.2">
      <c r="A21" s="1">
        <v>19</v>
      </c>
      <c r="B21" s="2">
        <f t="shared" si="7"/>
        <v>1991.0394083039068</v>
      </c>
      <c r="C21" s="2">
        <f t="shared" si="5"/>
        <v>1991.0394083039068</v>
      </c>
      <c r="D21" s="2">
        <f t="shared" si="0"/>
        <v>119.46236449823441</v>
      </c>
      <c r="E21" s="2">
        <f>-IF(YieldTax=Summary!$A$19,OIRate,IF(YieldTax=Summary!$A$20,LTCGRate,"error"))*D21</f>
        <v>-41.811827574382043</v>
      </c>
      <c r="F21" s="2">
        <f t="shared" si="1"/>
        <v>0</v>
      </c>
      <c r="G21" s="2">
        <f t="shared" si="2"/>
        <v>199.10394083039068</v>
      </c>
      <c r="H21" s="2">
        <f t="shared" si="3"/>
        <v>199.10394083039068</v>
      </c>
      <c r="I21" s="2">
        <f t="shared" si="8"/>
        <v>0</v>
      </c>
      <c r="J21" s="2">
        <f>-IF(GrowthTax=Summary!$A$20,LTCGRate,IF(GrowthTax=Summary!$A$19,OIRate,"error"))*I21</f>
        <v>0</v>
      </c>
      <c r="K21" s="2">
        <f t="shared" si="6"/>
        <v>276.75447775424306</v>
      </c>
      <c r="L21" s="2">
        <f t="shared" si="9"/>
        <v>2068.6899452277594</v>
      </c>
      <c r="M21" s="2">
        <f>L21-IF(GrowthTax=Summary!$A$20,LTCGRate,IF(GrowthTax=Summary!$A$19,OIRate,"error"))*(L21-C22)</f>
        <v>2068.6899452277594</v>
      </c>
    </row>
    <row r="22" spans="1:13" x14ac:dyDescent="0.2">
      <c r="A22" s="1">
        <v>20</v>
      </c>
      <c r="B22" s="2">
        <f t="shared" si="7"/>
        <v>2068.6899452277594</v>
      </c>
      <c r="C22" s="2">
        <f t="shared" si="5"/>
        <v>2068.6899452277594</v>
      </c>
      <c r="D22" s="2">
        <f t="shared" si="0"/>
        <v>124.12139671366556</v>
      </c>
      <c r="E22" s="2">
        <f>-IF(YieldTax=Summary!$A$19,OIRate,IF(YieldTax=Summary!$A$20,LTCGRate,"error"))*D22</f>
        <v>-43.442488849782947</v>
      </c>
      <c r="F22" s="2">
        <f t="shared" si="1"/>
        <v>0</v>
      </c>
      <c r="G22" s="2">
        <f t="shared" si="2"/>
        <v>206.86899452277595</v>
      </c>
      <c r="H22" s="2">
        <f t="shared" si="3"/>
        <v>206.86899452277595</v>
      </c>
      <c r="I22" s="2">
        <f t="shared" si="8"/>
        <v>0</v>
      </c>
      <c r="J22" s="2">
        <f>-IF(GrowthTax=Summary!$A$20,LTCGRate,IF(GrowthTax=Summary!$A$19,OIRate,"error"))*I22</f>
        <v>0</v>
      </c>
      <c r="K22" s="2">
        <f t="shared" si="6"/>
        <v>287.54790238665856</v>
      </c>
      <c r="L22" s="2">
        <f t="shared" si="9"/>
        <v>2149.368853091642</v>
      </c>
      <c r="M22" s="2">
        <f>L22-IF(GrowthTax=Summary!$A$20,LTCGRate,IF(GrowthTax=Summary!$A$19,OIRate,"error"))*(L22-C23)</f>
        <v>2149.368853091642</v>
      </c>
    </row>
    <row r="23" spans="1:13" x14ac:dyDescent="0.2">
      <c r="A23" s="1">
        <v>21</v>
      </c>
      <c r="B23" s="2">
        <f t="shared" si="7"/>
        <v>2149.368853091642</v>
      </c>
      <c r="C23" s="2">
        <f t="shared" si="5"/>
        <v>2149.368853091642</v>
      </c>
      <c r="D23" s="2">
        <f t="shared" si="0"/>
        <v>128.96213118549852</v>
      </c>
      <c r="E23" s="2">
        <f>-IF(YieldTax=Summary!$A$19,OIRate,IF(YieldTax=Summary!$A$20,LTCGRate,"error"))*D23</f>
        <v>-45.136745914924482</v>
      </c>
      <c r="F23" s="2">
        <f t="shared" si="1"/>
        <v>0</v>
      </c>
      <c r="G23" s="2">
        <f t="shared" si="2"/>
        <v>214.93688530916421</v>
      </c>
      <c r="H23" s="2">
        <f t="shared" si="3"/>
        <v>214.93688530916421</v>
      </c>
      <c r="I23" s="2">
        <f t="shared" si="8"/>
        <v>0</v>
      </c>
      <c r="J23" s="2">
        <f>-IF(GrowthTax=Summary!$A$20,LTCGRate,IF(GrowthTax=Summary!$A$19,OIRate,"error"))*I23</f>
        <v>0</v>
      </c>
      <c r="K23" s="2">
        <f t="shared" si="6"/>
        <v>298.7622705797383</v>
      </c>
      <c r="L23" s="2">
        <f t="shared" si="9"/>
        <v>2233.1942383622159</v>
      </c>
      <c r="M23" s="2">
        <f>L23-IF(GrowthTax=Summary!$A$20,LTCGRate,IF(GrowthTax=Summary!$A$19,OIRate,"error"))*(L23-C24)</f>
        <v>2233.1942383622159</v>
      </c>
    </row>
    <row r="24" spans="1:13" x14ac:dyDescent="0.2">
      <c r="A24" s="1">
        <v>22</v>
      </c>
      <c r="B24" s="2">
        <f t="shared" si="7"/>
        <v>2233.1942383622159</v>
      </c>
      <c r="C24" s="2">
        <f t="shared" si="5"/>
        <v>2233.1942383622163</v>
      </c>
      <c r="D24" s="2">
        <f t="shared" si="0"/>
        <v>133.99165430173295</v>
      </c>
      <c r="E24" s="2">
        <f>-IF(YieldTax=Summary!$A$19,OIRate,IF(YieldTax=Summary!$A$20,LTCGRate,"error"))*D24</f>
        <v>-46.897079005606528</v>
      </c>
      <c r="F24" s="2">
        <f t="shared" si="1"/>
        <v>0</v>
      </c>
      <c r="G24" s="2">
        <f t="shared" si="2"/>
        <v>223.3194238362216</v>
      </c>
      <c r="H24" s="2">
        <f t="shared" si="3"/>
        <v>223.31942383622163</v>
      </c>
      <c r="I24" s="2">
        <f t="shared" si="8"/>
        <v>-2.8421709430404007E-14</v>
      </c>
      <c r="J24" s="2">
        <f>-IF(GrowthTax=Summary!$A$20,LTCGRate,IF(GrowthTax=Summary!$A$19,OIRate,"error"))*I24</f>
        <v>9.947598300641402E-15</v>
      </c>
      <c r="K24" s="2">
        <f t="shared" si="6"/>
        <v>310.41399913234801</v>
      </c>
      <c r="L24" s="2">
        <f t="shared" si="9"/>
        <v>2320.2888136583424</v>
      </c>
      <c r="M24" s="2">
        <f>L24-IF(GrowthTax=Summary!$A$20,LTCGRate,IF(GrowthTax=Summary!$A$19,OIRate,"error"))*(L24-C25)</f>
        <v>2320.2888136583424</v>
      </c>
    </row>
    <row r="25" spans="1:13" x14ac:dyDescent="0.2">
      <c r="A25" s="1">
        <v>23</v>
      </c>
      <c r="B25" s="2">
        <f t="shared" si="7"/>
        <v>2320.2888136583424</v>
      </c>
      <c r="C25" s="2">
        <f t="shared" si="5"/>
        <v>2320.2888136583429</v>
      </c>
      <c r="D25" s="2">
        <f t="shared" si="0"/>
        <v>139.21732881950055</v>
      </c>
      <c r="E25" s="2">
        <f>-IF(YieldTax=Summary!$A$19,OIRate,IF(YieldTax=Summary!$A$20,LTCGRate,"error"))*D25</f>
        <v>-48.726065086825187</v>
      </c>
      <c r="F25" s="2">
        <f t="shared" si="1"/>
        <v>0</v>
      </c>
      <c r="G25" s="2">
        <f t="shared" si="2"/>
        <v>232.02888136583425</v>
      </c>
      <c r="H25" s="2">
        <f t="shared" si="3"/>
        <v>232.02888136583431</v>
      </c>
      <c r="I25" s="2">
        <f t="shared" si="8"/>
        <v>-5.6843418860808015E-14</v>
      </c>
      <c r="J25" s="2">
        <f>-IF(GrowthTax=Summary!$A$20,LTCGRate,IF(GrowthTax=Summary!$A$19,OIRate,"error"))*I25</f>
        <v>1.9895196601282804E-14</v>
      </c>
      <c r="K25" s="2">
        <f t="shared" si="6"/>
        <v>322.5201450985096</v>
      </c>
      <c r="L25" s="2">
        <f t="shared" si="9"/>
        <v>2410.7800773910176</v>
      </c>
      <c r="M25" s="2">
        <f>L25-IF(GrowthTax=Summary!$A$20,LTCGRate,IF(GrowthTax=Summary!$A$19,OIRate,"error"))*(L25-C26)</f>
        <v>2410.7800773910176</v>
      </c>
    </row>
    <row r="26" spans="1:13" x14ac:dyDescent="0.2">
      <c r="A26" s="1">
        <v>24</v>
      </c>
      <c r="B26" s="2">
        <f t="shared" si="7"/>
        <v>2410.7800773910176</v>
      </c>
      <c r="C26" s="2">
        <f t="shared" si="5"/>
        <v>2410.780077391018</v>
      </c>
      <c r="D26" s="2">
        <f t="shared" si="0"/>
        <v>144.64680464346105</v>
      </c>
      <c r="E26" s="2">
        <f>-IF(YieldTax=Summary!$A$19,OIRate,IF(YieldTax=Summary!$A$20,LTCGRate,"error"))*D26</f>
        <v>-50.626381625211366</v>
      </c>
      <c r="F26" s="2">
        <f t="shared" si="1"/>
        <v>0</v>
      </c>
      <c r="G26" s="2">
        <f t="shared" si="2"/>
        <v>241.07800773910176</v>
      </c>
      <c r="H26" s="2">
        <f t="shared" si="3"/>
        <v>241.07800773910182</v>
      </c>
      <c r="I26" s="2">
        <f t="shared" si="8"/>
        <v>-5.6843418860808015E-14</v>
      </c>
      <c r="J26" s="2">
        <f>-IF(GrowthTax=Summary!$A$20,LTCGRate,IF(GrowthTax=Summary!$A$19,OIRate,"error"))*I26</f>
        <v>1.9895196601282804E-14</v>
      </c>
      <c r="K26" s="2">
        <f t="shared" si="6"/>
        <v>335.09843075735148</v>
      </c>
      <c r="L26" s="2">
        <f t="shared" si="9"/>
        <v>2504.8005004092674</v>
      </c>
      <c r="M26" s="2">
        <f>L26-IF(GrowthTax=Summary!$A$20,LTCGRate,IF(GrowthTax=Summary!$A$19,OIRate,"error"))*(L26-C27)</f>
        <v>2504.8005004092674</v>
      </c>
    </row>
    <row r="27" spans="1:13" x14ac:dyDescent="0.2">
      <c r="A27" s="1">
        <v>25</v>
      </c>
      <c r="B27" s="2">
        <f t="shared" si="7"/>
        <v>2504.8005004092674</v>
      </c>
      <c r="C27" s="2">
        <f t="shared" si="5"/>
        <v>2504.8005004092674</v>
      </c>
      <c r="D27" s="2">
        <f t="shared" si="0"/>
        <v>150.28803002455604</v>
      </c>
      <c r="E27" s="2">
        <f>-IF(YieldTax=Summary!$A$19,OIRate,IF(YieldTax=Summary!$A$20,LTCGRate,"error"))*D27</f>
        <v>-52.600810508594613</v>
      </c>
      <c r="F27" s="2">
        <f t="shared" si="1"/>
        <v>0</v>
      </c>
      <c r="G27" s="2">
        <f t="shared" si="2"/>
        <v>250.48005004092676</v>
      </c>
      <c r="H27" s="2">
        <f t="shared" si="3"/>
        <v>250.48005004092676</v>
      </c>
      <c r="I27" s="2">
        <f t="shared" si="8"/>
        <v>0</v>
      </c>
      <c r="J27" s="2">
        <f>-IF(GrowthTax=Summary!$A$20,LTCGRate,IF(GrowthTax=Summary!$A$19,OIRate,"error"))*I27</f>
        <v>0</v>
      </c>
      <c r="K27" s="2">
        <f t="shared" si="6"/>
        <v>348.16726955688813</v>
      </c>
      <c r="L27" s="2">
        <f t="shared" si="9"/>
        <v>2602.4877199252287</v>
      </c>
      <c r="M27" s="2">
        <f>L27-IF(GrowthTax=Summary!$A$20,LTCGRate,IF(GrowthTax=Summary!$A$19,OIRate,"error"))*(L27-C28)</f>
        <v>2602.4877199252287</v>
      </c>
    </row>
    <row r="28" spans="1:13" x14ac:dyDescent="0.2">
      <c r="A28" s="1">
        <v>26</v>
      </c>
      <c r="B28" s="2">
        <f t="shared" si="7"/>
        <v>2602.4877199252287</v>
      </c>
      <c r="C28" s="2">
        <f t="shared" si="5"/>
        <v>2602.4877199252287</v>
      </c>
      <c r="D28" s="2">
        <f t="shared" si="0"/>
        <v>156.14926319551373</v>
      </c>
      <c r="E28" s="2">
        <f>-IF(YieldTax=Summary!$A$19,OIRate,IF(YieldTax=Summary!$A$20,LTCGRate,"error"))*D28</f>
        <v>-54.652242118429804</v>
      </c>
      <c r="F28" s="2">
        <f t="shared" si="1"/>
        <v>0</v>
      </c>
      <c r="G28" s="2">
        <f t="shared" si="2"/>
        <v>260.2487719925229</v>
      </c>
      <c r="H28" s="2">
        <f t="shared" si="3"/>
        <v>260.2487719925229</v>
      </c>
      <c r="I28" s="2">
        <f t="shared" si="8"/>
        <v>0</v>
      </c>
      <c r="J28" s="2">
        <f>-IF(GrowthTax=Summary!$A$20,LTCGRate,IF(GrowthTax=Summary!$A$19,OIRate,"error"))*I28</f>
        <v>0</v>
      </c>
      <c r="K28" s="2">
        <f t="shared" si="6"/>
        <v>361.7457930696068</v>
      </c>
      <c r="L28" s="2">
        <f t="shared" si="9"/>
        <v>2703.9847410023126</v>
      </c>
      <c r="M28" s="2">
        <f>L28-IF(GrowthTax=Summary!$A$20,LTCGRate,IF(GrowthTax=Summary!$A$19,OIRate,"error"))*(L28-C29)</f>
        <v>2703.9847410023126</v>
      </c>
    </row>
    <row r="29" spans="1:13" x14ac:dyDescent="0.2">
      <c r="A29" s="1">
        <v>27</v>
      </c>
      <c r="B29" s="2">
        <f t="shared" si="7"/>
        <v>2703.9847410023126</v>
      </c>
      <c r="C29" s="2">
        <f t="shared" si="5"/>
        <v>2703.9847410023126</v>
      </c>
      <c r="D29" s="2">
        <f t="shared" si="0"/>
        <v>162.23908446013874</v>
      </c>
      <c r="E29" s="2">
        <f>-IF(YieldTax=Summary!$A$19,OIRate,IF(YieldTax=Summary!$A$20,LTCGRate,"error"))*D29</f>
        <v>-56.783679561048558</v>
      </c>
      <c r="F29" s="2">
        <f t="shared" si="1"/>
        <v>0</v>
      </c>
      <c r="G29" s="2">
        <f t="shared" si="2"/>
        <v>270.39847410023128</v>
      </c>
      <c r="H29" s="2">
        <f t="shared" si="3"/>
        <v>270.39847410023128</v>
      </c>
      <c r="I29" s="2">
        <f t="shared" si="8"/>
        <v>0</v>
      </c>
      <c r="J29" s="2">
        <f>-IF(GrowthTax=Summary!$A$20,LTCGRate,IF(GrowthTax=Summary!$A$19,OIRate,"error"))*I29</f>
        <v>0</v>
      </c>
      <c r="K29" s="2">
        <f t="shared" si="6"/>
        <v>375.85387899932152</v>
      </c>
      <c r="L29" s="2">
        <f t="shared" si="9"/>
        <v>2809.4401459014025</v>
      </c>
      <c r="M29" s="2">
        <f>L29-IF(GrowthTax=Summary!$A$20,LTCGRate,IF(GrowthTax=Summary!$A$19,OIRate,"error"))*(L29-C30)</f>
        <v>2809.4401459014025</v>
      </c>
    </row>
    <row r="30" spans="1:13" x14ac:dyDescent="0.2">
      <c r="A30" s="1">
        <v>28</v>
      </c>
      <c r="B30" s="2">
        <f t="shared" si="7"/>
        <v>2809.4401459014025</v>
      </c>
      <c r="C30" s="2">
        <f t="shared" si="5"/>
        <v>2809.4401459014025</v>
      </c>
      <c r="D30" s="2">
        <f t="shared" si="0"/>
        <v>168.56640875408414</v>
      </c>
      <c r="E30" s="2">
        <f>-IF(YieldTax=Summary!$A$19,OIRate,IF(YieldTax=Summary!$A$20,LTCGRate,"error"))*D30</f>
        <v>-58.998243063929444</v>
      </c>
      <c r="F30" s="2">
        <f t="shared" si="1"/>
        <v>0</v>
      </c>
      <c r="G30" s="2">
        <f t="shared" si="2"/>
        <v>280.94401459014028</v>
      </c>
      <c r="H30" s="2">
        <f t="shared" si="3"/>
        <v>280.94401459014028</v>
      </c>
      <c r="I30" s="2">
        <f t="shared" si="8"/>
        <v>0</v>
      </c>
      <c r="J30" s="2">
        <f>-IF(GrowthTax=Summary!$A$20,LTCGRate,IF(GrowthTax=Summary!$A$19,OIRate,"error"))*I30</f>
        <v>0</v>
      </c>
      <c r="K30" s="2">
        <f t="shared" si="6"/>
        <v>390.51218028029496</v>
      </c>
      <c r="L30" s="2">
        <f t="shared" si="9"/>
        <v>2919.0083115915572</v>
      </c>
      <c r="M30" s="2">
        <f>L30-IF(GrowthTax=Summary!$A$20,LTCGRate,IF(GrowthTax=Summary!$A$19,OIRate,"error"))*(L30-C31)</f>
        <v>2919.0083115915572</v>
      </c>
    </row>
    <row r="31" spans="1:13" x14ac:dyDescent="0.2">
      <c r="A31" s="1">
        <v>29</v>
      </c>
      <c r="B31" s="2">
        <f t="shared" si="7"/>
        <v>2919.0083115915572</v>
      </c>
      <c r="C31" s="2">
        <f t="shared" si="5"/>
        <v>2919.0083115915572</v>
      </c>
      <c r="D31" s="2">
        <f t="shared" si="0"/>
        <v>175.14049869549342</v>
      </c>
      <c r="E31" s="2">
        <f>-IF(YieldTax=Summary!$A$19,OIRate,IF(YieldTax=Summary!$A$20,LTCGRate,"error"))*D31</f>
        <v>-61.299174543422694</v>
      </c>
      <c r="F31" s="2">
        <f t="shared" si="1"/>
        <v>0</v>
      </c>
      <c r="G31" s="2">
        <f t="shared" si="2"/>
        <v>291.90083115915576</v>
      </c>
      <c r="H31" s="2">
        <f t="shared" si="3"/>
        <v>291.90083115915576</v>
      </c>
      <c r="I31" s="2">
        <f t="shared" si="8"/>
        <v>0</v>
      </c>
      <c r="J31" s="2">
        <f>-IF(GrowthTax=Summary!$A$20,LTCGRate,IF(GrowthTax=Summary!$A$19,OIRate,"error"))*I31</f>
        <v>0</v>
      </c>
      <c r="K31" s="2">
        <f t="shared" si="6"/>
        <v>405.7421553112265</v>
      </c>
      <c r="L31" s="2">
        <f t="shared" si="9"/>
        <v>3032.8496357436279</v>
      </c>
      <c r="M31" s="2">
        <f>L31-IF(GrowthTax=Summary!$A$20,LTCGRate,IF(GrowthTax=Summary!$A$19,OIRate,"error"))*(L31-C32)</f>
        <v>3032.8496357436279</v>
      </c>
    </row>
    <row r="32" spans="1:13" x14ac:dyDescent="0.2">
      <c r="A32" s="1">
        <v>30</v>
      </c>
      <c r="B32" s="2">
        <f t="shared" si="7"/>
        <v>3032.8496357436279</v>
      </c>
      <c r="C32" s="2">
        <f t="shared" si="5"/>
        <v>3032.8496357436279</v>
      </c>
      <c r="D32" s="2">
        <f t="shared" si="0"/>
        <v>181.97097814461767</v>
      </c>
      <c r="E32" s="2">
        <f>-IF(YieldTax=Summary!$A$19,OIRate,IF(YieldTax=Summary!$A$20,LTCGRate,"error"))*D32</f>
        <v>-63.689842350616182</v>
      </c>
      <c r="F32" s="2">
        <f t="shared" si="1"/>
        <v>0</v>
      </c>
      <c r="G32" s="2">
        <f t="shared" si="2"/>
        <v>303.28496357436279</v>
      </c>
      <c r="H32" s="2">
        <f t="shared" si="3"/>
        <v>303.28496357436279</v>
      </c>
      <c r="I32" s="2">
        <f t="shared" si="8"/>
        <v>0</v>
      </c>
      <c r="J32" s="2">
        <f>-IF(GrowthTax=Summary!$A$20,LTCGRate,IF(GrowthTax=Summary!$A$19,OIRate,"error"))*I32</f>
        <v>0</v>
      </c>
      <c r="K32" s="2">
        <f t="shared" si="6"/>
        <v>421.56609936836429</v>
      </c>
      <c r="L32" s="2">
        <f t="shared" si="9"/>
        <v>3151.1307715376292</v>
      </c>
      <c r="M32" s="2">
        <f>L32-IF(GrowthTax=Summary!$A$20,LTCGRate,IF(GrowthTax=Summary!$A$19,OIRate,"error"))*(L32-C33)</f>
        <v>3151.1307715376292</v>
      </c>
    </row>
    <row r="33" spans="1:13" x14ac:dyDescent="0.2">
      <c r="A33" s="1">
        <v>31</v>
      </c>
      <c r="B33" s="2">
        <f t="shared" si="7"/>
        <v>3151.1307715376292</v>
      </c>
      <c r="C33" s="2">
        <f t="shared" si="5"/>
        <v>3151.1307715376292</v>
      </c>
      <c r="D33" s="2">
        <f t="shared" si="0"/>
        <v>189.06784629225774</v>
      </c>
      <c r="E33" s="2">
        <f>-IF(YieldTax=Summary!$A$19,OIRate,IF(YieldTax=Summary!$A$20,LTCGRate,"error"))*D33</f>
        <v>-66.173746202290204</v>
      </c>
      <c r="F33" s="2">
        <f t="shared" si="1"/>
        <v>0</v>
      </c>
      <c r="G33" s="2">
        <f t="shared" si="2"/>
        <v>315.11307715376296</v>
      </c>
      <c r="H33" s="2">
        <f t="shared" si="3"/>
        <v>315.11307715376296</v>
      </c>
      <c r="I33" s="2">
        <f t="shared" si="8"/>
        <v>0</v>
      </c>
      <c r="J33" s="2">
        <f>-IF(GrowthTax=Summary!$A$20,LTCGRate,IF(GrowthTax=Summary!$A$19,OIRate,"error"))*I33</f>
        <v>0</v>
      </c>
      <c r="K33" s="2">
        <f t="shared" si="6"/>
        <v>438.0071772437305</v>
      </c>
      <c r="L33" s="2">
        <f t="shared" si="9"/>
        <v>3274.0248716275969</v>
      </c>
      <c r="M33" s="2">
        <f>L33-IF(GrowthTax=Summary!$A$20,LTCGRate,IF(GrowthTax=Summary!$A$19,OIRate,"error"))*(L33-C34)</f>
        <v>3274.0248716275969</v>
      </c>
    </row>
    <row r="34" spans="1:13" x14ac:dyDescent="0.2">
      <c r="A34" s="1">
        <v>32</v>
      </c>
      <c r="B34" s="2">
        <f t="shared" si="7"/>
        <v>3274.0248716275969</v>
      </c>
      <c r="C34" s="2">
        <f t="shared" si="5"/>
        <v>3274.0248716275969</v>
      </c>
      <c r="D34" s="2">
        <f t="shared" si="0"/>
        <v>196.4414922976558</v>
      </c>
      <c r="E34" s="2">
        <f>-IF(YieldTax=Summary!$A$19,OIRate,IF(YieldTax=Summary!$A$20,LTCGRate,"error"))*D34</f>
        <v>-68.754522304179531</v>
      </c>
      <c r="F34" s="2">
        <f t="shared" si="1"/>
        <v>0</v>
      </c>
      <c r="G34" s="2">
        <f t="shared" si="2"/>
        <v>327.40248716275971</v>
      </c>
      <c r="H34" s="2">
        <f t="shared" si="3"/>
        <v>327.40248716275971</v>
      </c>
      <c r="I34" s="2">
        <f t="shared" si="8"/>
        <v>0</v>
      </c>
      <c r="J34" s="2">
        <f>-IF(GrowthTax=Summary!$A$20,LTCGRate,IF(GrowthTax=Summary!$A$19,OIRate,"error"))*I34</f>
        <v>0</v>
      </c>
      <c r="K34" s="2">
        <f t="shared" si="6"/>
        <v>455.08945715623599</v>
      </c>
      <c r="L34" s="2">
        <f t="shared" si="9"/>
        <v>3401.7118416210733</v>
      </c>
      <c r="M34" s="2">
        <f>L34-IF(GrowthTax=Summary!$A$20,LTCGRate,IF(GrowthTax=Summary!$A$19,OIRate,"error"))*(L34-C35)</f>
        <v>3401.7118416210733</v>
      </c>
    </row>
    <row r="35" spans="1:13" x14ac:dyDescent="0.2">
      <c r="A35" s="1">
        <v>33</v>
      </c>
      <c r="B35" s="2">
        <f t="shared" si="7"/>
        <v>3401.7118416210733</v>
      </c>
      <c r="C35" s="2">
        <f t="shared" si="5"/>
        <v>3401.7118416210733</v>
      </c>
      <c r="D35" s="2">
        <f t="shared" ref="D35:D66" si="10">B35*YieldRate</f>
        <v>204.10271049726438</v>
      </c>
      <c r="E35" s="2">
        <f>-IF(YieldTax=Summary!$A$19,OIRate,IF(YieldTax=Summary!$A$20,LTCGRate,"error"))*D35</f>
        <v>-71.435948674042535</v>
      </c>
      <c r="F35" s="2">
        <f t="shared" ref="F35:F66" si="11">B35*GrowthRate</f>
        <v>0</v>
      </c>
      <c r="G35" s="2">
        <f t="shared" ref="G35:G66" si="12">(B35+F35)*Turnover</f>
        <v>340.17118416210735</v>
      </c>
      <c r="H35" s="2">
        <f t="shared" ref="H35:H66" si="13">C35*Turnover</f>
        <v>340.17118416210735</v>
      </c>
      <c r="I35" s="2">
        <f t="shared" si="8"/>
        <v>0</v>
      </c>
      <c r="J35" s="2">
        <f>-IF(GrowthTax=Summary!$A$20,LTCGRate,IF(GrowthTax=Summary!$A$19,OIRate,"error"))*I35</f>
        <v>0</v>
      </c>
      <c r="K35" s="2">
        <f t="shared" si="6"/>
        <v>472.83794598532921</v>
      </c>
      <c r="L35" s="2">
        <f t="shared" si="9"/>
        <v>3534.3786034442951</v>
      </c>
      <c r="M35" s="2">
        <f>L35-IF(GrowthTax=Summary!$A$20,LTCGRate,IF(GrowthTax=Summary!$A$19,OIRate,"error"))*(L35-C36)</f>
        <v>3534.3786034442951</v>
      </c>
    </row>
    <row r="36" spans="1:13" x14ac:dyDescent="0.2">
      <c r="A36" s="1">
        <v>34</v>
      </c>
      <c r="B36" s="2">
        <f t="shared" si="7"/>
        <v>3534.3786034442951</v>
      </c>
      <c r="C36" s="2">
        <f t="shared" ref="C36:C67" si="14">C35-H35+K35</f>
        <v>3534.3786034442951</v>
      </c>
      <c r="D36" s="2">
        <f t="shared" si="10"/>
        <v>212.06271620665771</v>
      </c>
      <c r="E36" s="2">
        <f>-IF(YieldTax=Summary!$A$19,OIRate,IF(YieldTax=Summary!$A$20,LTCGRate,"error"))*D36</f>
        <v>-74.221950672330195</v>
      </c>
      <c r="F36" s="2">
        <f t="shared" si="11"/>
        <v>0</v>
      </c>
      <c r="G36" s="2">
        <f t="shared" si="12"/>
        <v>353.43786034442951</v>
      </c>
      <c r="H36" s="2">
        <f t="shared" si="13"/>
        <v>353.43786034442951</v>
      </c>
      <c r="I36" s="2">
        <f t="shared" si="8"/>
        <v>0</v>
      </c>
      <c r="J36" s="2">
        <f>-IF(GrowthTax=Summary!$A$20,LTCGRate,IF(GrowthTax=Summary!$A$19,OIRate,"error"))*I36</f>
        <v>0</v>
      </c>
      <c r="K36" s="2">
        <f t="shared" si="6"/>
        <v>491.278625878757</v>
      </c>
      <c r="L36" s="2">
        <f t="shared" si="9"/>
        <v>3672.2193689786227</v>
      </c>
      <c r="M36" s="2">
        <f>L36-IF(GrowthTax=Summary!$A$20,LTCGRate,IF(GrowthTax=Summary!$A$19,OIRate,"error"))*(L36-C37)</f>
        <v>3672.2193689786227</v>
      </c>
    </row>
    <row r="37" spans="1:13" x14ac:dyDescent="0.2">
      <c r="A37" s="1">
        <v>35</v>
      </c>
      <c r="B37" s="2">
        <f t="shared" si="7"/>
        <v>3672.2193689786227</v>
      </c>
      <c r="C37" s="2">
        <f t="shared" si="14"/>
        <v>3672.2193689786222</v>
      </c>
      <c r="D37" s="2">
        <f t="shared" si="10"/>
        <v>220.33316213871734</v>
      </c>
      <c r="E37" s="2">
        <f>-IF(YieldTax=Summary!$A$19,OIRate,IF(YieldTax=Summary!$A$20,LTCGRate,"error"))*D37</f>
        <v>-77.116606748551064</v>
      </c>
      <c r="F37" s="2">
        <f t="shared" si="11"/>
        <v>0</v>
      </c>
      <c r="G37" s="2">
        <f t="shared" si="12"/>
        <v>367.22193689786229</v>
      </c>
      <c r="H37" s="2">
        <f t="shared" si="13"/>
        <v>367.22193689786224</v>
      </c>
      <c r="I37" s="2">
        <f t="shared" si="8"/>
        <v>5.6843418860808015E-14</v>
      </c>
      <c r="J37" s="2">
        <f>-IF(GrowthTax=Summary!$A$20,LTCGRate,IF(GrowthTax=Summary!$A$19,OIRate,"error"))*I37</f>
        <v>-1.9895196601282804E-14</v>
      </c>
      <c r="K37" s="2">
        <f t="shared" si="6"/>
        <v>510.4384922880285</v>
      </c>
      <c r="L37" s="2">
        <f t="shared" si="9"/>
        <v>3815.4359243687891</v>
      </c>
      <c r="M37" s="2">
        <f>L37-IF(GrowthTax=Summary!$A$20,LTCGRate,IF(GrowthTax=Summary!$A$19,OIRate,"error"))*(L37-C38)</f>
        <v>3815.4359243687891</v>
      </c>
    </row>
    <row r="38" spans="1:13" x14ac:dyDescent="0.2">
      <c r="A38" s="1">
        <v>36</v>
      </c>
      <c r="B38" s="2">
        <f t="shared" si="7"/>
        <v>3815.4359243687891</v>
      </c>
      <c r="C38" s="2">
        <f t="shared" si="14"/>
        <v>3815.4359243687886</v>
      </c>
      <c r="D38" s="2">
        <f t="shared" si="10"/>
        <v>228.92615546212733</v>
      </c>
      <c r="E38" s="2">
        <f>-IF(YieldTax=Summary!$A$19,OIRate,IF(YieldTax=Summary!$A$20,LTCGRate,"error"))*D38</f>
        <v>-80.124154411744556</v>
      </c>
      <c r="F38" s="2">
        <f t="shared" si="11"/>
        <v>0</v>
      </c>
      <c r="G38" s="2">
        <f t="shared" si="12"/>
        <v>381.54359243687895</v>
      </c>
      <c r="H38" s="2">
        <f t="shared" si="13"/>
        <v>381.5435924368789</v>
      </c>
      <c r="I38" s="2">
        <f t="shared" si="8"/>
        <v>5.6843418860808015E-14</v>
      </c>
      <c r="J38" s="2">
        <f>-IF(GrowthTax=Summary!$A$20,LTCGRate,IF(GrowthTax=Summary!$A$19,OIRate,"error"))*I38</f>
        <v>-1.9895196601282804E-14</v>
      </c>
      <c r="K38" s="2">
        <f t="shared" si="6"/>
        <v>530.34559348726168</v>
      </c>
      <c r="L38" s="2">
        <f t="shared" si="9"/>
        <v>3964.2379254191719</v>
      </c>
      <c r="M38" s="2">
        <f>L38-IF(GrowthTax=Summary!$A$20,LTCGRate,IF(GrowthTax=Summary!$A$19,OIRate,"error"))*(L38-C39)</f>
        <v>3964.2379254191719</v>
      </c>
    </row>
    <row r="39" spans="1:13" x14ac:dyDescent="0.2">
      <c r="A39" s="1">
        <v>37</v>
      </c>
      <c r="B39" s="2">
        <f t="shared" si="7"/>
        <v>3964.2379254191719</v>
      </c>
      <c r="C39" s="2">
        <f t="shared" si="14"/>
        <v>3964.2379254191715</v>
      </c>
      <c r="D39" s="2">
        <f t="shared" si="10"/>
        <v>237.85427552515031</v>
      </c>
      <c r="E39" s="2">
        <f>-IF(YieldTax=Summary!$A$19,OIRate,IF(YieldTax=Summary!$A$20,LTCGRate,"error"))*D39</f>
        <v>-83.248996433802603</v>
      </c>
      <c r="F39" s="2">
        <f t="shared" si="11"/>
        <v>0</v>
      </c>
      <c r="G39" s="2">
        <f t="shared" si="12"/>
        <v>396.42379254191724</v>
      </c>
      <c r="H39" s="2">
        <f t="shared" si="13"/>
        <v>396.42379254191718</v>
      </c>
      <c r="I39" s="2">
        <f t="shared" si="8"/>
        <v>5.6843418860808015E-14</v>
      </c>
      <c r="J39" s="2">
        <f>-IF(GrowthTax=Summary!$A$20,LTCGRate,IF(GrowthTax=Summary!$A$19,OIRate,"error"))*I39</f>
        <v>-1.9895196601282804E-14</v>
      </c>
      <c r="K39" s="2">
        <f t="shared" si="6"/>
        <v>551.02907163326495</v>
      </c>
      <c r="L39" s="2">
        <f t="shared" si="9"/>
        <v>4118.8432045105192</v>
      </c>
      <c r="M39" s="2">
        <f>L39-IF(GrowthTax=Summary!$A$20,LTCGRate,IF(GrowthTax=Summary!$A$19,OIRate,"error"))*(L39-C40)</f>
        <v>4118.8432045105192</v>
      </c>
    </row>
    <row r="40" spans="1:13" x14ac:dyDescent="0.2">
      <c r="A40" s="1">
        <v>38</v>
      </c>
      <c r="B40" s="2">
        <f t="shared" si="7"/>
        <v>4118.8432045105192</v>
      </c>
      <c r="C40" s="2">
        <f t="shared" si="14"/>
        <v>4118.8432045105192</v>
      </c>
      <c r="D40" s="2">
        <f t="shared" si="10"/>
        <v>247.13059227063115</v>
      </c>
      <c r="E40" s="2">
        <f>-IF(YieldTax=Summary!$A$19,OIRate,IF(YieldTax=Summary!$A$20,LTCGRate,"error"))*D40</f>
        <v>-86.495707294720901</v>
      </c>
      <c r="F40" s="2">
        <f t="shared" si="11"/>
        <v>0</v>
      </c>
      <c r="G40" s="2">
        <f t="shared" si="12"/>
        <v>411.88432045105196</v>
      </c>
      <c r="H40" s="2">
        <f t="shared" si="13"/>
        <v>411.88432045105196</v>
      </c>
      <c r="I40" s="2">
        <f t="shared" si="8"/>
        <v>0</v>
      </c>
      <c r="J40" s="2">
        <f>-IF(GrowthTax=Summary!$A$20,LTCGRate,IF(GrowthTax=Summary!$A$19,OIRate,"error"))*I40</f>
        <v>0</v>
      </c>
      <c r="K40" s="2">
        <f t="shared" si="6"/>
        <v>572.51920542696223</v>
      </c>
      <c r="L40" s="2">
        <f t="shared" si="9"/>
        <v>4279.4780894864298</v>
      </c>
      <c r="M40" s="2">
        <f>L40-IF(GrowthTax=Summary!$A$20,LTCGRate,IF(GrowthTax=Summary!$A$19,OIRate,"error"))*(L40-C41)</f>
        <v>4279.4780894864298</v>
      </c>
    </row>
    <row r="41" spans="1:13" x14ac:dyDescent="0.2">
      <c r="A41" s="1">
        <v>39</v>
      </c>
      <c r="B41" s="2">
        <f t="shared" si="7"/>
        <v>4279.4780894864298</v>
      </c>
      <c r="C41" s="2">
        <f t="shared" si="14"/>
        <v>4279.4780894864289</v>
      </c>
      <c r="D41" s="2">
        <f t="shared" si="10"/>
        <v>256.76868536918579</v>
      </c>
      <c r="E41" s="2">
        <f>-IF(YieldTax=Summary!$A$19,OIRate,IF(YieldTax=Summary!$A$20,LTCGRate,"error"))*D41</f>
        <v>-89.869039879215023</v>
      </c>
      <c r="F41" s="2">
        <f t="shared" si="11"/>
        <v>0</v>
      </c>
      <c r="G41" s="2">
        <f t="shared" si="12"/>
        <v>427.947808948643</v>
      </c>
      <c r="H41" s="2">
        <f t="shared" si="13"/>
        <v>427.94780894864289</v>
      </c>
      <c r="I41" s="2">
        <f t="shared" si="8"/>
        <v>1.1368683772161603E-13</v>
      </c>
      <c r="J41" s="2">
        <f>-IF(GrowthTax=Summary!$A$20,LTCGRate,IF(GrowthTax=Summary!$A$19,OIRate,"error"))*I41</f>
        <v>-3.9790393202565608E-14</v>
      </c>
      <c r="K41" s="2">
        <f t="shared" si="6"/>
        <v>594.84745443861368</v>
      </c>
      <c r="L41" s="2">
        <f t="shared" si="9"/>
        <v>4446.3777349764005</v>
      </c>
      <c r="M41" s="2">
        <f>L41-IF(GrowthTax=Summary!$A$20,LTCGRate,IF(GrowthTax=Summary!$A$19,OIRate,"error"))*(L41-C42)</f>
        <v>4446.3777349764005</v>
      </c>
    </row>
    <row r="42" spans="1:13" x14ac:dyDescent="0.2">
      <c r="A42" s="1">
        <v>40</v>
      </c>
      <c r="B42" s="2">
        <f t="shared" si="7"/>
        <v>4446.3777349764005</v>
      </c>
      <c r="C42" s="2">
        <f t="shared" si="14"/>
        <v>4446.3777349763996</v>
      </c>
      <c r="D42" s="2">
        <f t="shared" si="10"/>
        <v>266.78266409858401</v>
      </c>
      <c r="E42" s="2">
        <f>-IF(YieldTax=Summary!$A$19,OIRate,IF(YieldTax=Summary!$A$20,LTCGRate,"error"))*D42</f>
        <v>-93.373932434504397</v>
      </c>
      <c r="F42" s="2">
        <f t="shared" si="11"/>
        <v>0</v>
      </c>
      <c r="G42" s="2">
        <f t="shared" si="12"/>
        <v>444.63777349764007</v>
      </c>
      <c r="H42" s="2">
        <f t="shared" si="13"/>
        <v>444.63777349763996</v>
      </c>
      <c r="I42" s="2">
        <f t="shared" si="8"/>
        <v>1.1368683772161603E-13</v>
      </c>
      <c r="J42" s="2">
        <f>-IF(GrowthTax=Summary!$A$20,LTCGRate,IF(GrowthTax=Summary!$A$19,OIRate,"error"))*I42</f>
        <v>-3.9790393202565608E-14</v>
      </c>
      <c r="K42" s="2">
        <f t="shared" si="6"/>
        <v>618.04650516171967</v>
      </c>
      <c r="L42" s="2">
        <f t="shared" si="9"/>
        <v>4619.7864666404803</v>
      </c>
      <c r="M42" s="2">
        <f>L42-IF(GrowthTax=Summary!$A$20,LTCGRate,IF(GrowthTax=Summary!$A$19,OIRate,"error"))*(L42-C43)</f>
        <v>4619.7864666404803</v>
      </c>
    </row>
    <row r="43" spans="1:13" x14ac:dyDescent="0.2">
      <c r="A43" s="1">
        <v>41</v>
      </c>
      <c r="B43" s="2">
        <f t="shared" si="7"/>
        <v>4619.7864666404803</v>
      </c>
      <c r="C43" s="2">
        <f t="shared" si="14"/>
        <v>4619.7864666404794</v>
      </c>
      <c r="D43" s="2">
        <f t="shared" si="10"/>
        <v>277.18718799842878</v>
      </c>
      <c r="E43" s="2">
        <f>-IF(YieldTax=Summary!$A$19,OIRate,IF(YieldTax=Summary!$A$20,LTCGRate,"error"))*D43</f>
        <v>-97.015515799450071</v>
      </c>
      <c r="F43" s="2">
        <f t="shared" si="11"/>
        <v>0</v>
      </c>
      <c r="G43" s="2">
        <f t="shared" si="12"/>
        <v>461.97864666404803</v>
      </c>
      <c r="H43" s="2">
        <f t="shared" si="13"/>
        <v>461.97864666404797</v>
      </c>
      <c r="I43" s="2">
        <f t="shared" si="8"/>
        <v>5.6843418860808015E-14</v>
      </c>
      <c r="J43" s="2">
        <f>-IF(GrowthTax=Summary!$A$20,LTCGRate,IF(GrowthTax=Summary!$A$19,OIRate,"error"))*I43</f>
        <v>-1.9895196601282804E-14</v>
      </c>
      <c r="K43" s="2">
        <f t="shared" si="6"/>
        <v>642.15031886302665</v>
      </c>
      <c r="L43" s="2">
        <f t="shared" si="9"/>
        <v>4799.958138839459</v>
      </c>
      <c r="M43" s="2">
        <f>L43-IF(GrowthTax=Summary!$A$20,LTCGRate,IF(GrowthTax=Summary!$A$19,OIRate,"error"))*(L43-C44)</f>
        <v>4799.958138839459</v>
      </c>
    </row>
    <row r="44" spans="1:13" x14ac:dyDescent="0.2">
      <c r="A44" s="1">
        <v>42</v>
      </c>
      <c r="B44" s="2">
        <f t="shared" si="7"/>
        <v>4799.958138839459</v>
      </c>
      <c r="C44" s="2">
        <f t="shared" si="14"/>
        <v>4799.9581388394581</v>
      </c>
      <c r="D44" s="2">
        <f t="shared" si="10"/>
        <v>287.9974883303675</v>
      </c>
      <c r="E44" s="2">
        <f>-IF(YieldTax=Summary!$A$19,OIRate,IF(YieldTax=Summary!$A$20,LTCGRate,"error"))*D44</f>
        <v>-100.79912091562862</v>
      </c>
      <c r="F44" s="2">
        <f t="shared" si="11"/>
        <v>0</v>
      </c>
      <c r="G44" s="2">
        <f t="shared" si="12"/>
        <v>479.99581388394591</v>
      </c>
      <c r="H44" s="2">
        <f t="shared" si="13"/>
        <v>479.99581388394586</v>
      </c>
      <c r="I44" s="2">
        <f t="shared" si="8"/>
        <v>5.6843418860808015E-14</v>
      </c>
      <c r="J44" s="2">
        <f>-IF(GrowthTax=Summary!$A$20,LTCGRate,IF(GrowthTax=Summary!$A$19,OIRate,"error"))*I44</f>
        <v>-1.9895196601282804E-14</v>
      </c>
      <c r="K44" s="2">
        <f t="shared" si="6"/>
        <v>667.19418129868484</v>
      </c>
      <c r="L44" s="2">
        <f t="shared" si="9"/>
        <v>4987.1565062541977</v>
      </c>
      <c r="M44" s="2">
        <f>L44-IF(GrowthTax=Summary!$A$20,LTCGRate,IF(GrowthTax=Summary!$A$19,OIRate,"error"))*(L44-C45)</f>
        <v>4987.1565062541977</v>
      </c>
    </row>
    <row r="45" spans="1:13" x14ac:dyDescent="0.2">
      <c r="A45" s="1">
        <v>43</v>
      </c>
      <c r="B45" s="2">
        <f t="shared" si="7"/>
        <v>4987.1565062541977</v>
      </c>
      <c r="C45" s="2">
        <f t="shared" si="14"/>
        <v>4987.1565062541977</v>
      </c>
      <c r="D45" s="2">
        <f t="shared" si="10"/>
        <v>299.22939037525185</v>
      </c>
      <c r="E45" s="2">
        <f>-IF(YieldTax=Summary!$A$19,OIRate,IF(YieldTax=Summary!$A$20,LTCGRate,"error"))*D45</f>
        <v>-104.73028663133815</v>
      </c>
      <c r="F45" s="2">
        <f t="shared" si="11"/>
        <v>0</v>
      </c>
      <c r="G45" s="2">
        <f t="shared" si="12"/>
        <v>498.71565062541981</v>
      </c>
      <c r="H45" s="2">
        <f t="shared" si="13"/>
        <v>498.71565062541981</v>
      </c>
      <c r="I45" s="2">
        <f t="shared" si="8"/>
        <v>0</v>
      </c>
      <c r="J45" s="2">
        <f>-IF(GrowthTax=Summary!$A$20,LTCGRate,IF(GrowthTax=Summary!$A$19,OIRate,"error"))*I45</f>
        <v>0</v>
      </c>
      <c r="K45" s="2">
        <f t="shared" si="6"/>
        <v>693.21475436933349</v>
      </c>
      <c r="L45" s="2">
        <f t="shared" si="9"/>
        <v>5181.6556099981108</v>
      </c>
      <c r="M45" s="2">
        <f>L45-IF(GrowthTax=Summary!$A$20,LTCGRate,IF(GrowthTax=Summary!$A$19,OIRate,"error"))*(L45-C46)</f>
        <v>5181.6556099981108</v>
      </c>
    </row>
    <row r="46" spans="1:13" x14ac:dyDescent="0.2">
      <c r="A46" s="1">
        <v>44</v>
      </c>
      <c r="B46" s="2">
        <f t="shared" si="7"/>
        <v>5181.6556099981108</v>
      </c>
      <c r="C46" s="2">
        <f t="shared" si="14"/>
        <v>5181.6556099981117</v>
      </c>
      <c r="D46" s="2">
        <f t="shared" si="10"/>
        <v>310.89933659988662</v>
      </c>
      <c r="E46" s="2">
        <f>-IF(YieldTax=Summary!$A$19,OIRate,IF(YieldTax=Summary!$A$20,LTCGRate,"error"))*D46</f>
        <v>-108.81476780996032</v>
      </c>
      <c r="F46" s="2">
        <f t="shared" si="11"/>
        <v>0</v>
      </c>
      <c r="G46" s="2">
        <f t="shared" si="12"/>
        <v>518.16556099981108</v>
      </c>
      <c r="H46" s="2">
        <f t="shared" si="13"/>
        <v>518.16556099981119</v>
      </c>
      <c r="I46" s="2">
        <f t="shared" si="8"/>
        <v>-1.1368683772161603E-13</v>
      </c>
      <c r="J46" s="2">
        <f>-IF(GrowthTax=Summary!$A$20,LTCGRate,IF(GrowthTax=Summary!$A$19,OIRate,"error"))*I46</f>
        <v>3.9790393202565608E-14</v>
      </c>
      <c r="K46" s="2">
        <f t="shared" si="6"/>
        <v>720.25012978973734</v>
      </c>
      <c r="L46" s="2">
        <f t="shared" si="9"/>
        <v>5383.7401787880372</v>
      </c>
      <c r="M46" s="2">
        <f>L46-IF(GrowthTax=Summary!$A$20,LTCGRate,IF(GrowthTax=Summary!$A$19,OIRate,"error"))*(L46-C47)</f>
        <v>5383.7401787880372</v>
      </c>
    </row>
    <row r="47" spans="1:13" x14ac:dyDescent="0.2">
      <c r="A47" s="1">
        <v>45</v>
      </c>
      <c r="B47" s="2">
        <f t="shared" si="7"/>
        <v>5383.7401787880372</v>
      </c>
      <c r="C47" s="2">
        <f t="shared" si="14"/>
        <v>5383.7401787880372</v>
      </c>
      <c r="D47" s="2">
        <f t="shared" si="10"/>
        <v>323.0244107272822</v>
      </c>
      <c r="E47" s="2">
        <f>-IF(YieldTax=Summary!$A$19,OIRate,IF(YieldTax=Summary!$A$20,LTCGRate,"error"))*D47</f>
        <v>-113.05854375454877</v>
      </c>
      <c r="F47" s="2">
        <f t="shared" si="11"/>
        <v>0</v>
      </c>
      <c r="G47" s="2">
        <f t="shared" si="12"/>
        <v>538.37401787880378</v>
      </c>
      <c r="H47" s="2">
        <f t="shared" si="13"/>
        <v>538.37401787880378</v>
      </c>
      <c r="I47" s="2">
        <f t="shared" si="8"/>
        <v>0</v>
      </c>
      <c r="J47" s="2">
        <f>-IF(GrowthTax=Summary!$A$20,LTCGRate,IF(GrowthTax=Summary!$A$19,OIRate,"error"))*I47</f>
        <v>0</v>
      </c>
      <c r="K47" s="2">
        <f t="shared" si="6"/>
        <v>748.33988485153725</v>
      </c>
      <c r="L47" s="2">
        <f t="shared" si="9"/>
        <v>5593.7060457607704</v>
      </c>
      <c r="M47" s="2">
        <f>L47-IF(GrowthTax=Summary!$A$20,LTCGRate,IF(GrowthTax=Summary!$A$19,OIRate,"error"))*(L47-C48)</f>
        <v>5593.7060457607704</v>
      </c>
    </row>
    <row r="48" spans="1:13" x14ac:dyDescent="0.2">
      <c r="A48" s="1">
        <v>46</v>
      </c>
      <c r="B48" s="2">
        <f t="shared" si="7"/>
        <v>5593.7060457607704</v>
      </c>
      <c r="C48" s="2">
        <f t="shared" si="14"/>
        <v>5593.7060457607704</v>
      </c>
      <c r="D48" s="2">
        <f t="shared" si="10"/>
        <v>335.62236274564623</v>
      </c>
      <c r="E48" s="2">
        <f>-IF(YieldTax=Summary!$A$19,OIRate,IF(YieldTax=Summary!$A$20,LTCGRate,"error"))*D48</f>
        <v>-117.46782696097617</v>
      </c>
      <c r="F48" s="2">
        <f t="shared" si="11"/>
        <v>0</v>
      </c>
      <c r="G48" s="2">
        <f t="shared" si="12"/>
        <v>559.37060457607708</v>
      </c>
      <c r="H48" s="2">
        <f t="shared" si="13"/>
        <v>559.37060457607708</v>
      </c>
      <c r="I48" s="2">
        <f t="shared" si="8"/>
        <v>0</v>
      </c>
      <c r="J48" s="2">
        <f>-IF(GrowthTax=Summary!$A$20,LTCGRate,IF(GrowthTax=Summary!$A$19,OIRate,"error"))*I48</f>
        <v>0</v>
      </c>
      <c r="K48" s="2">
        <f t="shared" si="6"/>
        <v>777.52514036074717</v>
      </c>
      <c r="L48" s="2">
        <f t="shared" si="9"/>
        <v>5811.8605815454412</v>
      </c>
      <c r="M48" s="2">
        <f>L48-IF(GrowthTax=Summary!$A$20,LTCGRate,IF(GrowthTax=Summary!$A$19,OIRate,"error"))*(L48-C49)</f>
        <v>5811.8605815454412</v>
      </c>
    </row>
    <row r="49" spans="1:13" x14ac:dyDescent="0.2">
      <c r="A49" s="1">
        <v>47</v>
      </c>
      <c r="B49" s="2">
        <f t="shared" si="7"/>
        <v>5811.8605815454412</v>
      </c>
      <c r="C49" s="2">
        <f t="shared" si="14"/>
        <v>5811.8605815454403</v>
      </c>
      <c r="D49" s="2">
        <f t="shared" si="10"/>
        <v>348.71163489272647</v>
      </c>
      <c r="E49" s="2">
        <f>-IF(YieldTax=Summary!$A$19,OIRate,IF(YieldTax=Summary!$A$20,LTCGRate,"error"))*D49</f>
        <v>-122.04907221245425</v>
      </c>
      <c r="F49" s="2">
        <f t="shared" si="11"/>
        <v>0</v>
      </c>
      <c r="G49" s="2">
        <f t="shared" si="12"/>
        <v>581.18605815454418</v>
      </c>
      <c r="H49" s="2">
        <f t="shared" si="13"/>
        <v>581.18605815454407</v>
      </c>
      <c r="I49" s="2">
        <f t="shared" si="8"/>
        <v>1.1368683772161603E-13</v>
      </c>
      <c r="J49" s="2">
        <f>-IF(GrowthTax=Summary!$A$20,LTCGRate,IF(GrowthTax=Summary!$A$19,OIRate,"error"))*I49</f>
        <v>-3.9790393202565608E-14</v>
      </c>
      <c r="K49" s="2">
        <f t="shared" si="6"/>
        <v>807.84862083481642</v>
      </c>
      <c r="L49" s="2">
        <f t="shared" si="9"/>
        <v>6038.5231442257136</v>
      </c>
      <c r="M49" s="2">
        <f>L49-IF(GrowthTax=Summary!$A$20,LTCGRate,IF(GrowthTax=Summary!$A$19,OIRate,"error"))*(L49-C50)</f>
        <v>6038.5231442257136</v>
      </c>
    </row>
    <row r="50" spans="1:13" x14ac:dyDescent="0.2">
      <c r="A50" s="1">
        <v>48</v>
      </c>
      <c r="B50" s="2">
        <f t="shared" si="7"/>
        <v>6038.5231442257136</v>
      </c>
      <c r="C50" s="2">
        <f t="shared" si="14"/>
        <v>6038.5231442257127</v>
      </c>
      <c r="D50" s="2">
        <f t="shared" si="10"/>
        <v>362.31138865354279</v>
      </c>
      <c r="E50" s="2">
        <f>-IF(YieldTax=Summary!$A$19,OIRate,IF(YieldTax=Summary!$A$20,LTCGRate,"error"))*D50</f>
        <v>-126.80898602873997</v>
      </c>
      <c r="F50" s="2">
        <f t="shared" si="11"/>
        <v>0</v>
      </c>
      <c r="G50" s="2">
        <f t="shared" si="12"/>
        <v>603.85231442257134</v>
      </c>
      <c r="H50" s="2">
        <f t="shared" si="13"/>
        <v>603.85231442257134</v>
      </c>
      <c r="I50" s="2">
        <f t="shared" si="8"/>
        <v>0</v>
      </c>
      <c r="J50" s="2">
        <f>-IF(GrowthTax=Summary!$A$20,LTCGRate,IF(GrowthTax=Summary!$A$19,OIRate,"error"))*I50</f>
        <v>0</v>
      </c>
      <c r="K50" s="2">
        <f t="shared" si="6"/>
        <v>839.35471704737427</v>
      </c>
      <c r="L50" s="2">
        <f t="shared" si="9"/>
        <v>6274.0255468505165</v>
      </c>
      <c r="M50" s="2">
        <f>L50-IF(GrowthTax=Summary!$A$20,LTCGRate,IF(GrowthTax=Summary!$A$19,OIRate,"error"))*(L50-C51)</f>
        <v>6274.0255468505165</v>
      </c>
    </row>
    <row r="51" spans="1:13" x14ac:dyDescent="0.2">
      <c r="A51" s="1">
        <v>49</v>
      </c>
      <c r="B51" s="2">
        <f t="shared" si="7"/>
        <v>6274.0255468505165</v>
      </c>
      <c r="C51" s="2">
        <f t="shared" si="14"/>
        <v>6274.0255468505156</v>
      </c>
      <c r="D51" s="2">
        <f t="shared" si="10"/>
        <v>376.44153281103098</v>
      </c>
      <c r="E51" s="2">
        <f>-IF(YieldTax=Summary!$A$19,OIRate,IF(YieldTax=Summary!$A$20,LTCGRate,"error"))*D51</f>
        <v>-131.75453648386085</v>
      </c>
      <c r="F51" s="2">
        <f t="shared" si="11"/>
        <v>0</v>
      </c>
      <c r="G51" s="2">
        <f t="shared" si="12"/>
        <v>627.40255468505165</v>
      </c>
      <c r="H51" s="2">
        <f t="shared" si="13"/>
        <v>627.40255468505165</v>
      </c>
      <c r="I51" s="2">
        <f t="shared" si="8"/>
        <v>0</v>
      </c>
      <c r="J51" s="2">
        <f>-IF(GrowthTax=Summary!$A$20,LTCGRate,IF(GrowthTax=Summary!$A$19,OIRate,"error"))*I51</f>
        <v>0</v>
      </c>
      <c r="K51" s="2">
        <f t="shared" si="6"/>
        <v>872.08955101222182</v>
      </c>
      <c r="L51" s="2">
        <f t="shared" si="9"/>
        <v>6518.7125431776867</v>
      </c>
      <c r="M51" s="2">
        <f>L51-IF(GrowthTax=Summary!$A$20,LTCGRate,IF(GrowthTax=Summary!$A$19,OIRate,"error"))*(L51-C52)</f>
        <v>6518.7125431776867</v>
      </c>
    </row>
    <row r="52" spans="1:13" x14ac:dyDescent="0.2">
      <c r="A52" s="1">
        <v>50</v>
      </c>
      <c r="B52" s="2">
        <f t="shared" si="7"/>
        <v>6518.7125431776867</v>
      </c>
      <c r="C52" s="2">
        <f t="shared" si="14"/>
        <v>6518.7125431776858</v>
      </c>
      <c r="D52" s="2">
        <f t="shared" si="10"/>
        <v>391.12275259066121</v>
      </c>
      <c r="E52" s="2">
        <f>-IF(YieldTax=Summary!$A$19,OIRate,IF(YieldTax=Summary!$A$20,LTCGRate,"error"))*D52</f>
        <v>-136.89296340673141</v>
      </c>
      <c r="F52" s="2">
        <f t="shared" si="11"/>
        <v>0</v>
      </c>
      <c r="G52" s="2">
        <f t="shared" si="12"/>
        <v>651.87125431776872</v>
      </c>
      <c r="H52" s="2">
        <f t="shared" si="13"/>
        <v>651.8712543177686</v>
      </c>
      <c r="I52" s="2">
        <f t="shared" si="8"/>
        <v>1.1368683772161603E-13</v>
      </c>
      <c r="J52" s="2">
        <f>-IF(GrowthTax=Summary!$A$20,LTCGRate,IF(GrowthTax=Summary!$A$19,OIRate,"error"))*I52</f>
        <v>-3.9790393202565608E-14</v>
      </c>
      <c r="K52" s="2">
        <f t="shared" si="6"/>
        <v>906.10104350169865</v>
      </c>
      <c r="L52" s="2">
        <f t="shared" si="9"/>
        <v>6772.9423323616165</v>
      </c>
      <c r="M52" s="2">
        <f>L52-IF(GrowthTax=Summary!$A$20,LTCGRate,IF(GrowthTax=Summary!$A$19,OIRate,"error"))*(L52-C53)</f>
        <v>6772.9423323616165</v>
      </c>
    </row>
    <row r="53" spans="1:13" x14ac:dyDescent="0.2">
      <c r="A53" s="1">
        <v>51</v>
      </c>
      <c r="B53" s="2">
        <f t="shared" si="7"/>
        <v>6772.9423323616165</v>
      </c>
      <c r="C53" s="2">
        <f t="shared" si="14"/>
        <v>6772.9423323616156</v>
      </c>
      <c r="D53" s="2">
        <f t="shared" si="10"/>
        <v>406.37653994169699</v>
      </c>
      <c r="E53" s="2">
        <f>-IF(YieldTax=Summary!$A$19,OIRate,IF(YieldTax=Summary!$A$20,LTCGRate,"error"))*D53</f>
        <v>-142.23178897959394</v>
      </c>
      <c r="F53" s="2">
        <f t="shared" si="11"/>
        <v>0</v>
      </c>
      <c r="G53" s="2">
        <f t="shared" si="12"/>
        <v>677.29423323616174</v>
      </c>
      <c r="H53" s="2">
        <f t="shared" si="13"/>
        <v>677.29423323616163</v>
      </c>
      <c r="I53" s="2">
        <f t="shared" si="8"/>
        <v>1.1368683772161603E-13</v>
      </c>
      <c r="J53" s="2">
        <f>-IF(GrowthTax=Summary!$A$20,LTCGRate,IF(GrowthTax=Summary!$A$19,OIRate,"error"))*I53</f>
        <v>-3.9790393202565608E-14</v>
      </c>
      <c r="K53" s="2">
        <f t="shared" si="6"/>
        <v>941.43898419826485</v>
      </c>
      <c r="L53" s="2">
        <f t="shared" si="9"/>
        <v>7037.0870833237195</v>
      </c>
      <c r="M53" s="2">
        <f>L53-IF(GrowthTax=Summary!$A$20,LTCGRate,IF(GrowthTax=Summary!$A$19,OIRate,"error"))*(L53-C54)</f>
        <v>7037.0870833237195</v>
      </c>
    </row>
    <row r="54" spans="1:13" x14ac:dyDescent="0.2">
      <c r="A54" s="1">
        <v>52</v>
      </c>
      <c r="B54" s="2">
        <f t="shared" si="7"/>
        <v>7037.0870833237195</v>
      </c>
      <c r="C54" s="2">
        <f t="shared" si="14"/>
        <v>7037.0870833237186</v>
      </c>
      <c r="D54" s="2">
        <f t="shared" si="10"/>
        <v>422.22522499942318</v>
      </c>
      <c r="E54" s="2">
        <f>-IF(YieldTax=Summary!$A$19,OIRate,IF(YieldTax=Summary!$A$20,LTCGRate,"error"))*D54</f>
        <v>-147.77882874979809</v>
      </c>
      <c r="F54" s="2">
        <f t="shared" si="11"/>
        <v>0</v>
      </c>
      <c r="G54" s="2">
        <f t="shared" si="12"/>
        <v>703.708708332372</v>
      </c>
      <c r="H54" s="2">
        <f t="shared" si="13"/>
        <v>703.70870833237188</v>
      </c>
      <c r="I54" s="2">
        <f t="shared" si="8"/>
        <v>1.1368683772161603E-13</v>
      </c>
      <c r="J54" s="2">
        <f>-IF(GrowthTax=Summary!$A$20,LTCGRate,IF(GrowthTax=Summary!$A$19,OIRate,"error"))*I54</f>
        <v>-3.9790393202565608E-14</v>
      </c>
      <c r="K54" s="2">
        <f t="shared" si="6"/>
        <v>978.15510458199719</v>
      </c>
      <c r="L54" s="2">
        <f t="shared" si="9"/>
        <v>7311.5334795733452</v>
      </c>
      <c r="M54" s="2">
        <f>L54-IF(GrowthTax=Summary!$A$20,LTCGRate,IF(GrowthTax=Summary!$A$19,OIRate,"error"))*(L54-C55)</f>
        <v>7311.5334795733443</v>
      </c>
    </row>
    <row r="55" spans="1:13" x14ac:dyDescent="0.2">
      <c r="A55" s="1">
        <v>53</v>
      </c>
      <c r="B55" s="2">
        <f t="shared" si="7"/>
        <v>7311.5334795733452</v>
      </c>
      <c r="C55" s="2">
        <f t="shared" si="14"/>
        <v>7311.5334795733434</v>
      </c>
      <c r="D55" s="2">
        <f t="shared" si="10"/>
        <v>438.69200877440068</v>
      </c>
      <c r="E55" s="2">
        <f>-IF(YieldTax=Summary!$A$19,OIRate,IF(YieldTax=Summary!$A$20,LTCGRate,"error"))*D55</f>
        <v>-153.54220307104023</v>
      </c>
      <c r="F55" s="2">
        <f t="shared" si="11"/>
        <v>0</v>
      </c>
      <c r="G55" s="2">
        <f t="shared" si="12"/>
        <v>731.15334795733452</v>
      </c>
      <c r="H55" s="2">
        <f t="shared" si="13"/>
        <v>731.1533479573344</v>
      </c>
      <c r="I55" s="2">
        <f t="shared" si="8"/>
        <v>1.1368683772161603E-13</v>
      </c>
      <c r="J55" s="2">
        <f>-IF(GrowthTax=Summary!$A$20,LTCGRate,IF(GrowthTax=Summary!$A$19,OIRate,"error"))*I55</f>
        <v>-3.9790393202565608E-14</v>
      </c>
      <c r="K55" s="2">
        <f t="shared" si="6"/>
        <v>1016.3031536606949</v>
      </c>
      <c r="L55" s="2">
        <f t="shared" si="9"/>
        <v>7596.6832852767056</v>
      </c>
      <c r="M55" s="2">
        <f>L55-IF(GrowthTax=Summary!$A$20,LTCGRate,IF(GrowthTax=Summary!$A$19,OIRate,"error"))*(L55-C56)</f>
        <v>7596.6832852767047</v>
      </c>
    </row>
    <row r="56" spans="1:13" x14ac:dyDescent="0.2">
      <c r="A56" s="1">
        <v>54</v>
      </c>
      <c r="B56" s="2">
        <f t="shared" si="7"/>
        <v>7596.6832852767056</v>
      </c>
      <c r="C56" s="2">
        <f t="shared" si="14"/>
        <v>7596.6832852767038</v>
      </c>
      <c r="D56" s="2">
        <f t="shared" si="10"/>
        <v>455.80099711660233</v>
      </c>
      <c r="E56" s="2">
        <f>-IF(YieldTax=Summary!$A$19,OIRate,IF(YieldTax=Summary!$A$20,LTCGRate,"error"))*D56</f>
        <v>-159.53034899081081</v>
      </c>
      <c r="F56" s="2">
        <f t="shared" si="11"/>
        <v>0</v>
      </c>
      <c r="G56" s="2">
        <f t="shared" si="12"/>
        <v>759.66832852767061</v>
      </c>
      <c r="H56" s="2">
        <f t="shared" si="13"/>
        <v>759.66832852767038</v>
      </c>
      <c r="I56" s="2">
        <f t="shared" si="8"/>
        <v>2.2737367544323206E-13</v>
      </c>
      <c r="J56" s="2">
        <f>-IF(GrowthTax=Summary!$A$20,LTCGRate,IF(GrowthTax=Summary!$A$19,OIRate,"error"))*I56</f>
        <v>-7.9580786405131216E-14</v>
      </c>
      <c r="K56" s="2">
        <f t="shared" si="6"/>
        <v>1055.9389766534621</v>
      </c>
      <c r="L56" s="2">
        <f t="shared" si="9"/>
        <v>7892.9539334024967</v>
      </c>
      <c r="M56" s="2">
        <f>L56-IF(GrowthTax=Summary!$A$20,LTCGRate,IF(GrowthTax=Summary!$A$19,OIRate,"error"))*(L56-C57)</f>
        <v>7892.9539334024967</v>
      </c>
    </row>
    <row r="57" spans="1:13" x14ac:dyDescent="0.2">
      <c r="A57" s="1">
        <v>55</v>
      </c>
      <c r="B57" s="2">
        <f t="shared" si="7"/>
        <v>7892.9539334024967</v>
      </c>
      <c r="C57" s="2">
        <f t="shared" si="14"/>
        <v>7892.9539334024957</v>
      </c>
      <c r="D57" s="2">
        <f t="shared" si="10"/>
        <v>473.57723600414977</v>
      </c>
      <c r="E57" s="2">
        <f>-IF(YieldTax=Summary!$A$19,OIRate,IF(YieldTax=Summary!$A$20,LTCGRate,"error"))*D57</f>
        <v>-165.75203260145241</v>
      </c>
      <c r="F57" s="2">
        <f t="shared" si="11"/>
        <v>0</v>
      </c>
      <c r="G57" s="2">
        <f t="shared" si="12"/>
        <v>789.29539334024969</v>
      </c>
      <c r="H57" s="2">
        <f t="shared" si="13"/>
        <v>789.29539334024957</v>
      </c>
      <c r="I57" s="2">
        <f t="shared" si="8"/>
        <v>1.1368683772161603E-13</v>
      </c>
      <c r="J57" s="2">
        <f>-IF(GrowthTax=Summary!$A$20,LTCGRate,IF(GrowthTax=Summary!$A$19,OIRate,"error"))*I57</f>
        <v>-3.9790393202565608E-14</v>
      </c>
      <c r="K57" s="2">
        <f t="shared" si="6"/>
        <v>1097.1205967429471</v>
      </c>
      <c r="L57" s="2">
        <f t="shared" si="9"/>
        <v>8200.779136805193</v>
      </c>
      <c r="M57" s="2">
        <f>L57-IF(GrowthTax=Summary!$A$20,LTCGRate,IF(GrowthTax=Summary!$A$19,OIRate,"error"))*(L57-C58)</f>
        <v>8200.779136805193</v>
      </c>
    </row>
    <row r="58" spans="1:13" x14ac:dyDescent="0.2">
      <c r="A58" s="1">
        <v>56</v>
      </c>
      <c r="B58" s="2">
        <f t="shared" si="7"/>
        <v>8200.779136805193</v>
      </c>
      <c r="C58" s="2">
        <f t="shared" si="14"/>
        <v>8200.779136805193</v>
      </c>
      <c r="D58" s="2">
        <f t="shared" si="10"/>
        <v>492.04674820831156</v>
      </c>
      <c r="E58" s="2">
        <f>-IF(YieldTax=Summary!$A$19,OIRate,IF(YieldTax=Summary!$A$20,LTCGRate,"error"))*D58</f>
        <v>-172.21636187290903</v>
      </c>
      <c r="F58" s="2">
        <f t="shared" si="11"/>
        <v>0</v>
      </c>
      <c r="G58" s="2">
        <f t="shared" si="12"/>
        <v>820.07791368051937</v>
      </c>
      <c r="H58" s="2">
        <f t="shared" si="13"/>
        <v>820.07791368051937</v>
      </c>
      <c r="I58" s="2">
        <f t="shared" si="8"/>
        <v>0</v>
      </c>
      <c r="J58" s="2">
        <f>-IF(GrowthTax=Summary!$A$20,LTCGRate,IF(GrowthTax=Summary!$A$19,OIRate,"error"))*I58</f>
        <v>0</v>
      </c>
      <c r="K58" s="2">
        <f t="shared" si="6"/>
        <v>1139.9083000159217</v>
      </c>
      <c r="L58" s="2">
        <f t="shared" si="9"/>
        <v>8520.6095231405961</v>
      </c>
      <c r="M58" s="2">
        <f>L58-IF(GrowthTax=Summary!$A$20,LTCGRate,IF(GrowthTax=Summary!$A$19,OIRate,"error"))*(L58-C59)</f>
        <v>8520.6095231405961</v>
      </c>
    </row>
    <row r="59" spans="1:13" x14ac:dyDescent="0.2">
      <c r="A59" s="1">
        <v>57</v>
      </c>
      <c r="B59" s="2">
        <f t="shared" si="7"/>
        <v>8520.6095231405961</v>
      </c>
      <c r="C59" s="2">
        <f t="shared" si="14"/>
        <v>8520.6095231405961</v>
      </c>
      <c r="D59" s="2">
        <f t="shared" si="10"/>
        <v>511.23657138843578</v>
      </c>
      <c r="E59" s="2">
        <f>-IF(YieldTax=Summary!$A$19,OIRate,IF(YieldTax=Summary!$A$20,LTCGRate,"error"))*D59</f>
        <v>-178.9327999859525</v>
      </c>
      <c r="F59" s="2">
        <f t="shared" si="11"/>
        <v>0</v>
      </c>
      <c r="G59" s="2">
        <f t="shared" si="12"/>
        <v>852.0609523140597</v>
      </c>
      <c r="H59" s="2">
        <f t="shared" si="13"/>
        <v>852.0609523140597</v>
      </c>
      <c r="I59" s="2">
        <f t="shared" si="8"/>
        <v>0</v>
      </c>
      <c r="J59" s="2">
        <f>-IF(GrowthTax=Summary!$A$20,LTCGRate,IF(GrowthTax=Summary!$A$19,OIRate,"error"))*I59</f>
        <v>0</v>
      </c>
      <c r="K59" s="2">
        <f t="shared" si="6"/>
        <v>1184.364723716543</v>
      </c>
      <c r="L59" s="2">
        <f t="shared" si="9"/>
        <v>8852.9132945430792</v>
      </c>
      <c r="M59" s="2">
        <f>L59-IF(GrowthTax=Summary!$A$20,LTCGRate,IF(GrowthTax=Summary!$A$19,OIRate,"error"))*(L59-C60)</f>
        <v>8852.9132945430792</v>
      </c>
    </row>
    <row r="60" spans="1:13" x14ac:dyDescent="0.2">
      <c r="A60" s="1">
        <v>58</v>
      </c>
      <c r="B60" s="2">
        <f t="shared" si="7"/>
        <v>8852.9132945430792</v>
      </c>
      <c r="C60" s="2">
        <f t="shared" si="14"/>
        <v>8852.9132945430792</v>
      </c>
      <c r="D60" s="2">
        <f t="shared" si="10"/>
        <v>531.17479767258476</v>
      </c>
      <c r="E60" s="2">
        <f>-IF(YieldTax=Summary!$A$19,OIRate,IF(YieldTax=Summary!$A$20,LTCGRate,"error"))*D60</f>
        <v>-185.91117918540465</v>
      </c>
      <c r="F60" s="2">
        <f t="shared" si="11"/>
        <v>0</v>
      </c>
      <c r="G60" s="2">
        <f t="shared" si="12"/>
        <v>885.29132945430797</v>
      </c>
      <c r="H60" s="2">
        <f t="shared" si="13"/>
        <v>885.29132945430797</v>
      </c>
      <c r="I60" s="2">
        <f t="shared" si="8"/>
        <v>0</v>
      </c>
      <c r="J60" s="2">
        <f>-IF(GrowthTax=Summary!$A$20,LTCGRate,IF(GrowthTax=Summary!$A$19,OIRate,"error"))*I60</f>
        <v>0</v>
      </c>
      <c r="K60" s="2">
        <f t="shared" si="6"/>
        <v>1230.5549479414881</v>
      </c>
      <c r="L60" s="2">
        <f t="shared" si="9"/>
        <v>9198.17691303026</v>
      </c>
      <c r="M60" s="2">
        <f>L60-IF(GrowthTax=Summary!$A$20,LTCGRate,IF(GrowthTax=Summary!$A$19,OIRate,"error"))*(L60-C61)</f>
        <v>9198.17691303026</v>
      </c>
    </row>
    <row r="61" spans="1:13" x14ac:dyDescent="0.2">
      <c r="A61" s="1">
        <v>59</v>
      </c>
      <c r="B61" s="2">
        <f t="shared" si="7"/>
        <v>9198.17691303026</v>
      </c>
      <c r="C61" s="2">
        <f t="shared" si="14"/>
        <v>9198.17691303026</v>
      </c>
      <c r="D61" s="2">
        <f t="shared" si="10"/>
        <v>551.89061478181554</v>
      </c>
      <c r="E61" s="2">
        <f>-IF(YieldTax=Summary!$A$19,OIRate,IF(YieldTax=Summary!$A$20,LTCGRate,"error"))*D61</f>
        <v>-193.16171517363543</v>
      </c>
      <c r="F61" s="2">
        <f t="shared" si="11"/>
        <v>0</v>
      </c>
      <c r="G61" s="2">
        <f t="shared" si="12"/>
        <v>919.81769130302609</v>
      </c>
      <c r="H61" s="2">
        <f t="shared" si="13"/>
        <v>919.81769130302609</v>
      </c>
      <c r="I61" s="2">
        <f t="shared" si="8"/>
        <v>0</v>
      </c>
      <c r="J61" s="2">
        <f>-IF(GrowthTax=Summary!$A$20,LTCGRate,IF(GrowthTax=Summary!$A$19,OIRate,"error"))*I61</f>
        <v>0</v>
      </c>
      <c r="K61" s="2">
        <f t="shared" si="6"/>
        <v>1278.5465909112063</v>
      </c>
      <c r="L61" s="2">
        <f t="shared" si="9"/>
        <v>9556.9058126384407</v>
      </c>
      <c r="M61" s="2">
        <f>L61-IF(GrowthTax=Summary!$A$20,LTCGRate,IF(GrowthTax=Summary!$A$19,OIRate,"error"))*(L61-C62)</f>
        <v>9556.9058126384407</v>
      </c>
    </row>
    <row r="62" spans="1:13" x14ac:dyDescent="0.2">
      <c r="A62" s="1">
        <v>60</v>
      </c>
      <c r="B62" s="2">
        <f t="shared" si="7"/>
        <v>9556.9058126384407</v>
      </c>
      <c r="C62" s="2">
        <f t="shared" si="14"/>
        <v>9556.9058126384407</v>
      </c>
      <c r="D62" s="2">
        <f t="shared" si="10"/>
        <v>573.41434875830646</v>
      </c>
      <c r="E62" s="2">
        <f>-IF(YieldTax=Summary!$A$19,OIRate,IF(YieldTax=Summary!$A$20,LTCGRate,"error"))*D62</f>
        <v>-200.69502206540724</v>
      </c>
      <c r="F62" s="2">
        <f t="shared" si="11"/>
        <v>0</v>
      </c>
      <c r="G62" s="2">
        <f t="shared" si="12"/>
        <v>955.69058126384414</v>
      </c>
      <c r="H62" s="2">
        <f t="shared" si="13"/>
        <v>955.69058126384414</v>
      </c>
      <c r="I62" s="2">
        <f t="shared" si="8"/>
        <v>0</v>
      </c>
      <c r="J62" s="2">
        <f>-IF(GrowthTax=Summary!$A$20,LTCGRate,IF(GrowthTax=Summary!$A$19,OIRate,"error"))*I62</f>
        <v>0</v>
      </c>
      <c r="K62" s="2">
        <f t="shared" si="6"/>
        <v>1328.4099079567434</v>
      </c>
      <c r="L62" s="2">
        <f t="shared" si="9"/>
        <v>9929.6251393313396</v>
      </c>
      <c r="M62" s="2">
        <f>L62-IF(GrowthTax=Summary!$A$20,LTCGRate,IF(GrowthTax=Summary!$A$19,OIRate,"error"))*(L62-C63)</f>
        <v>9929.6251393313396</v>
      </c>
    </row>
    <row r="63" spans="1:13" x14ac:dyDescent="0.2">
      <c r="A63" s="1">
        <v>61</v>
      </c>
      <c r="B63" s="2">
        <f t="shared" si="7"/>
        <v>9929.6251393313396</v>
      </c>
      <c r="C63" s="2">
        <f t="shared" si="14"/>
        <v>9929.6251393313414</v>
      </c>
      <c r="D63" s="2">
        <f t="shared" si="10"/>
        <v>595.77750835988036</v>
      </c>
      <c r="E63" s="2">
        <f>-IF(YieldTax=Summary!$A$19,OIRate,IF(YieldTax=Summary!$A$20,LTCGRate,"error"))*D63</f>
        <v>-208.5221279259581</v>
      </c>
      <c r="F63" s="2">
        <f t="shared" si="11"/>
        <v>0</v>
      </c>
      <c r="G63" s="2">
        <f t="shared" si="12"/>
        <v>992.96251393313401</v>
      </c>
      <c r="H63" s="2">
        <f t="shared" si="13"/>
        <v>992.96251393313423</v>
      </c>
      <c r="I63" s="2">
        <f t="shared" si="8"/>
        <v>-2.2737367544323206E-13</v>
      </c>
      <c r="J63" s="2">
        <f>-IF(GrowthTax=Summary!$A$20,LTCGRate,IF(GrowthTax=Summary!$A$19,OIRate,"error"))*I63</f>
        <v>7.9580786405131216E-14</v>
      </c>
      <c r="K63" s="2">
        <f t="shared" si="6"/>
        <v>1380.2178943670565</v>
      </c>
      <c r="L63" s="2">
        <f t="shared" si="9"/>
        <v>10316.880519765262</v>
      </c>
      <c r="M63" s="2">
        <f>L63-IF(GrowthTax=Summary!$A$20,LTCGRate,IF(GrowthTax=Summary!$A$19,OIRate,"error"))*(L63-C64)</f>
        <v>10316.880519765262</v>
      </c>
    </row>
    <row r="64" spans="1:13" x14ac:dyDescent="0.2">
      <c r="A64" s="1">
        <v>62</v>
      </c>
      <c r="B64" s="2">
        <f t="shared" si="7"/>
        <v>10316.880519765262</v>
      </c>
      <c r="C64" s="2">
        <f t="shared" si="14"/>
        <v>10316.880519765264</v>
      </c>
      <c r="D64" s="2">
        <f t="shared" si="10"/>
        <v>619.01283118591573</v>
      </c>
      <c r="E64" s="2">
        <f>-IF(YieldTax=Summary!$A$19,OIRate,IF(YieldTax=Summary!$A$20,LTCGRate,"error"))*D64</f>
        <v>-216.65449091507048</v>
      </c>
      <c r="F64" s="2">
        <f t="shared" si="11"/>
        <v>0</v>
      </c>
      <c r="G64" s="2">
        <f t="shared" si="12"/>
        <v>1031.6880519765261</v>
      </c>
      <c r="H64" s="2">
        <f t="shared" si="13"/>
        <v>1031.6880519765264</v>
      </c>
      <c r="I64" s="2">
        <f t="shared" si="8"/>
        <v>-2.2737367544323206E-13</v>
      </c>
      <c r="J64" s="2">
        <f>-IF(GrowthTax=Summary!$A$20,LTCGRate,IF(GrowthTax=Summary!$A$19,OIRate,"error"))*I64</f>
        <v>7.9580786405131216E-14</v>
      </c>
      <c r="K64" s="2">
        <f t="shared" si="6"/>
        <v>1434.0463922473714</v>
      </c>
      <c r="L64" s="2">
        <f t="shared" si="9"/>
        <v>10719.238860036106</v>
      </c>
      <c r="M64" s="2">
        <f>L64-IF(GrowthTax=Summary!$A$20,LTCGRate,IF(GrowthTax=Summary!$A$19,OIRate,"error"))*(L64-C65)</f>
        <v>10719.238860036106</v>
      </c>
    </row>
    <row r="65" spans="1:13" x14ac:dyDescent="0.2">
      <c r="A65" s="1">
        <v>63</v>
      </c>
      <c r="B65" s="2">
        <f t="shared" si="7"/>
        <v>10719.238860036106</v>
      </c>
      <c r="C65" s="2">
        <f t="shared" si="14"/>
        <v>10719.238860036108</v>
      </c>
      <c r="D65" s="2">
        <f t="shared" si="10"/>
        <v>643.15433160216639</v>
      </c>
      <c r="E65" s="2">
        <f>-IF(YieldTax=Summary!$A$19,OIRate,IF(YieldTax=Summary!$A$20,LTCGRate,"error"))*D65</f>
        <v>-225.10401606075823</v>
      </c>
      <c r="F65" s="2">
        <f t="shared" si="11"/>
        <v>0</v>
      </c>
      <c r="G65" s="2">
        <f t="shared" si="12"/>
        <v>1071.9238860036107</v>
      </c>
      <c r="H65" s="2">
        <f t="shared" si="13"/>
        <v>1071.923886003611</v>
      </c>
      <c r="I65" s="2">
        <f t="shared" si="8"/>
        <v>-2.2737367544323206E-13</v>
      </c>
      <c r="J65" s="2">
        <f>-IF(GrowthTax=Summary!$A$20,LTCGRate,IF(GrowthTax=Summary!$A$19,OIRate,"error"))*I65</f>
        <v>7.9580786405131216E-14</v>
      </c>
      <c r="K65" s="2">
        <f t="shared" si="6"/>
        <v>1489.9742015450188</v>
      </c>
      <c r="L65" s="2">
        <f t="shared" si="9"/>
        <v>11137.289175577514</v>
      </c>
      <c r="M65" s="2">
        <f>L65-IF(GrowthTax=Summary!$A$20,LTCGRate,IF(GrowthTax=Summary!$A$19,OIRate,"error"))*(L65-C66)</f>
        <v>11137.289175577514</v>
      </c>
    </row>
    <row r="66" spans="1:13" x14ac:dyDescent="0.2">
      <c r="A66" s="1">
        <v>64</v>
      </c>
      <c r="B66" s="2">
        <f t="shared" si="7"/>
        <v>11137.289175577514</v>
      </c>
      <c r="C66" s="2">
        <f t="shared" si="14"/>
        <v>11137.289175577516</v>
      </c>
      <c r="D66" s="2">
        <f t="shared" si="10"/>
        <v>668.23735053465089</v>
      </c>
      <c r="E66" s="2">
        <f>-IF(YieldTax=Summary!$A$19,OIRate,IF(YieldTax=Summary!$A$20,LTCGRate,"error"))*D66</f>
        <v>-233.88307268712779</v>
      </c>
      <c r="F66" s="2">
        <f t="shared" si="11"/>
        <v>0</v>
      </c>
      <c r="G66" s="2">
        <f t="shared" si="12"/>
        <v>1113.7289175577514</v>
      </c>
      <c r="H66" s="2">
        <f t="shared" si="13"/>
        <v>1113.7289175577516</v>
      </c>
      <c r="I66" s="2">
        <f t="shared" si="8"/>
        <v>-2.2737367544323206E-13</v>
      </c>
      <c r="J66" s="2">
        <f>-IF(GrowthTax=Summary!$A$20,LTCGRate,IF(GrowthTax=Summary!$A$19,OIRate,"error"))*I66</f>
        <v>7.9580786405131216E-14</v>
      </c>
      <c r="K66" s="2">
        <f t="shared" si="6"/>
        <v>1548.0831954052744</v>
      </c>
      <c r="L66" s="2">
        <f t="shared" si="9"/>
        <v>11571.643453425038</v>
      </c>
      <c r="M66" s="2">
        <f>L66-IF(GrowthTax=Summary!$A$20,LTCGRate,IF(GrowthTax=Summary!$A$19,OIRate,"error"))*(L66-C67)</f>
        <v>11571.643453425038</v>
      </c>
    </row>
    <row r="67" spans="1:13" x14ac:dyDescent="0.2">
      <c r="A67" s="1">
        <v>65</v>
      </c>
      <c r="B67" s="2">
        <f t="shared" si="7"/>
        <v>11571.643453425038</v>
      </c>
      <c r="C67" s="2">
        <f t="shared" si="14"/>
        <v>11571.643453425038</v>
      </c>
      <c r="D67" s="2">
        <f t="shared" ref="D67:D103" si="15">B67*YieldRate</f>
        <v>694.29860720550232</v>
      </c>
      <c r="E67" s="2">
        <f>-IF(YieldTax=Summary!$A$19,OIRate,IF(YieldTax=Summary!$A$20,LTCGRate,"error"))*D67</f>
        <v>-243.00451252192579</v>
      </c>
      <c r="F67" s="2">
        <f t="shared" ref="F67:F103" si="16">B67*GrowthRate</f>
        <v>0</v>
      </c>
      <c r="G67" s="2">
        <f t="shared" ref="G67:G98" si="17">(B67+F67)*Turnover</f>
        <v>1157.1643453425038</v>
      </c>
      <c r="H67" s="2">
        <f t="shared" ref="H67:H103" si="18">C67*Turnover</f>
        <v>1157.1643453425038</v>
      </c>
      <c r="I67" s="2">
        <f t="shared" si="8"/>
        <v>0</v>
      </c>
      <c r="J67" s="2">
        <f>-IF(GrowthTax=Summary!$A$20,LTCGRate,IF(GrowthTax=Summary!$A$19,OIRate,"error"))*I67</f>
        <v>0</v>
      </c>
      <c r="K67" s="2">
        <f t="shared" si="6"/>
        <v>1608.4584400260803</v>
      </c>
      <c r="L67" s="2">
        <f t="shared" si="9"/>
        <v>12022.937548108615</v>
      </c>
      <c r="M67" s="2">
        <f>L67-IF(GrowthTax=Summary!$A$20,LTCGRate,IF(GrowthTax=Summary!$A$19,OIRate,"error"))*(L67-C68)</f>
        <v>12022.937548108615</v>
      </c>
    </row>
    <row r="68" spans="1:13" x14ac:dyDescent="0.2">
      <c r="A68" s="1">
        <v>66</v>
      </c>
      <c r="B68" s="2">
        <f t="shared" si="7"/>
        <v>12022.937548108615</v>
      </c>
      <c r="C68" s="2">
        <f t="shared" ref="C68:C103" si="19">C67-H67+K67</f>
        <v>12022.937548108615</v>
      </c>
      <c r="D68" s="2">
        <f t="shared" si="15"/>
        <v>721.37625288651691</v>
      </c>
      <c r="E68" s="2">
        <f>-IF(YieldTax=Summary!$A$19,OIRate,IF(YieldTax=Summary!$A$20,LTCGRate,"error"))*D68</f>
        <v>-252.48168851028089</v>
      </c>
      <c r="F68" s="2">
        <f t="shared" si="16"/>
        <v>0</v>
      </c>
      <c r="G68" s="2">
        <f t="shared" si="17"/>
        <v>1202.2937548108616</v>
      </c>
      <c r="H68" s="2">
        <f t="shared" si="18"/>
        <v>1202.2937548108616</v>
      </c>
      <c r="I68" s="2">
        <f t="shared" si="8"/>
        <v>0</v>
      </c>
      <c r="J68" s="2">
        <f>-IF(GrowthTax=Summary!$A$20,LTCGRate,IF(GrowthTax=Summary!$A$19,OIRate,"error"))*I68</f>
        <v>0</v>
      </c>
      <c r="K68" s="2">
        <f t="shared" ref="K68:K102" si="20">G68+J68+D68+E68</f>
        <v>1671.1883191870975</v>
      </c>
      <c r="L68" s="2">
        <f t="shared" si="9"/>
        <v>12491.832112484852</v>
      </c>
      <c r="M68" s="2">
        <f>L68-IF(GrowthTax=Summary!$A$20,LTCGRate,IF(GrowthTax=Summary!$A$19,OIRate,"error"))*(L68-C69)</f>
        <v>12491.832112484852</v>
      </c>
    </row>
    <row r="69" spans="1:13" x14ac:dyDescent="0.2">
      <c r="A69" s="1">
        <v>67</v>
      </c>
      <c r="B69" s="2">
        <f t="shared" ref="B69:B103" si="21">L68</f>
        <v>12491.832112484852</v>
      </c>
      <c r="C69" s="2">
        <f t="shared" si="19"/>
        <v>12491.832112484852</v>
      </c>
      <c r="D69" s="2">
        <f t="shared" si="15"/>
        <v>749.50992674909105</v>
      </c>
      <c r="E69" s="2">
        <f>-IF(YieldTax=Summary!$A$19,OIRate,IF(YieldTax=Summary!$A$20,LTCGRate,"error"))*D69</f>
        <v>-262.32847436218185</v>
      </c>
      <c r="F69" s="2">
        <f t="shared" si="16"/>
        <v>0</v>
      </c>
      <c r="G69" s="2">
        <f t="shared" si="17"/>
        <v>1249.1832112484853</v>
      </c>
      <c r="H69" s="2">
        <f t="shared" si="18"/>
        <v>1249.1832112484853</v>
      </c>
      <c r="I69" s="2">
        <f t="shared" ref="I69:I103" si="22">(G69-H69)</f>
        <v>0</v>
      </c>
      <c r="J69" s="2">
        <f>-IF(GrowthTax=Summary!$A$20,LTCGRate,IF(GrowthTax=Summary!$A$19,OIRate,"error"))*I69</f>
        <v>0</v>
      </c>
      <c r="K69" s="2">
        <f t="shared" si="20"/>
        <v>1736.3646636353944</v>
      </c>
      <c r="L69" s="2">
        <f t="shared" ref="L69:L103" si="23">B69+D69+E69+F69+J69</f>
        <v>12979.013564871761</v>
      </c>
      <c r="M69" s="2">
        <f>L69-IF(GrowthTax=Summary!$A$20,LTCGRate,IF(GrowthTax=Summary!$A$19,OIRate,"error"))*(L69-C70)</f>
        <v>12979.013564871761</v>
      </c>
    </row>
    <row r="70" spans="1:13" x14ac:dyDescent="0.2">
      <c r="A70" s="1">
        <v>68</v>
      </c>
      <c r="B70" s="2">
        <f t="shared" si="21"/>
        <v>12979.013564871761</v>
      </c>
      <c r="C70" s="2">
        <f t="shared" si="19"/>
        <v>12979.013564871762</v>
      </c>
      <c r="D70" s="2">
        <f t="shared" si="15"/>
        <v>778.7408138923056</v>
      </c>
      <c r="E70" s="2">
        <f>-IF(YieldTax=Summary!$A$19,OIRate,IF(YieldTax=Summary!$A$20,LTCGRate,"error"))*D70</f>
        <v>-272.55928486230692</v>
      </c>
      <c r="F70" s="2">
        <f t="shared" si="16"/>
        <v>0</v>
      </c>
      <c r="G70" s="2">
        <f t="shared" si="17"/>
        <v>1297.9013564871761</v>
      </c>
      <c r="H70" s="2">
        <f t="shared" si="18"/>
        <v>1297.9013564871764</v>
      </c>
      <c r="I70" s="2">
        <f t="shared" si="22"/>
        <v>-2.2737367544323206E-13</v>
      </c>
      <c r="J70" s="2">
        <f>-IF(GrowthTax=Summary!$A$20,LTCGRate,IF(GrowthTax=Summary!$A$19,OIRate,"error"))*I70</f>
        <v>7.9580786405131216E-14</v>
      </c>
      <c r="K70" s="2">
        <f t="shared" si="20"/>
        <v>1804.0828855171749</v>
      </c>
      <c r="L70" s="2">
        <f t="shared" si="23"/>
        <v>13485.195093901759</v>
      </c>
      <c r="M70" s="2">
        <f>L70-IF(GrowthTax=Summary!$A$20,LTCGRate,IF(GrowthTax=Summary!$A$19,OIRate,"error"))*(L70-C71)</f>
        <v>13485.195093901759</v>
      </c>
    </row>
    <row r="71" spans="1:13" x14ac:dyDescent="0.2">
      <c r="A71" s="1">
        <v>69</v>
      </c>
      <c r="B71" s="2">
        <f t="shared" si="21"/>
        <v>13485.195093901759</v>
      </c>
      <c r="C71" s="2">
        <f t="shared" si="19"/>
        <v>13485.195093901761</v>
      </c>
      <c r="D71" s="2">
        <f t="shared" si="15"/>
        <v>809.11170563410553</v>
      </c>
      <c r="E71" s="2">
        <f>-IF(YieldTax=Summary!$A$19,OIRate,IF(YieldTax=Summary!$A$20,LTCGRate,"error"))*D71</f>
        <v>-283.18909697193692</v>
      </c>
      <c r="F71" s="2">
        <f t="shared" si="16"/>
        <v>0</v>
      </c>
      <c r="G71" s="2">
        <f t="shared" si="17"/>
        <v>1348.5195093901759</v>
      </c>
      <c r="H71" s="2">
        <f t="shared" si="18"/>
        <v>1348.5195093901762</v>
      </c>
      <c r="I71" s="2">
        <f t="shared" si="22"/>
        <v>-2.2737367544323206E-13</v>
      </c>
      <c r="J71" s="2">
        <f>-IF(GrowthTax=Summary!$A$20,LTCGRate,IF(GrowthTax=Summary!$A$19,OIRate,"error"))*I71</f>
        <v>7.9580786405131216E-14</v>
      </c>
      <c r="K71" s="2">
        <f t="shared" si="20"/>
        <v>1874.4421180523445</v>
      </c>
      <c r="L71" s="2">
        <f t="shared" si="23"/>
        <v>14011.117702563928</v>
      </c>
      <c r="M71" s="2">
        <f>L71-IF(GrowthTax=Summary!$A$20,LTCGRate,IF(GrowthTax=Summary!$A$19,OIRate,"error"))*(L71-C72)</f>
        <v>14011.117702563928</v>
      </c>
    </row>
    <row r="72" spans="1:13" x14ac:dyDescent="0.2">
      <c r="A72" s="1">
        <v>70</v>
      </c>
      <c r="B72" s="2">
        <f t="shared" si="21"/>
        <v>14011.117702563928</v>
      </c>
      <c r="C72" s="2">
        <f t="shared" si="19"/>
        <v>14011.117702563928</v>
      </c>
      <c r="D72" s="2">
        <f t="shared" si="15"/>
        <v>840.66706215383567</v>
      </c>
      <c r="E72" s="2">
        <f>-IF(YieldTax=Summary!$A$19,OIRate,IF(YieldTax=Summary!$A$20,LTCGRate,"error"))*D72</f>
        <v>-294.23347175384248</v>
      </c>
      <c r="F72" s="2">
        <f t="shared" si="16"/>
        <v>0</v>
      </c>
      <c r="G72" s="2">
        <f t="shared" si="17"/>
        <v>1401.1117702563929</v>
      </c>
      <c r="H72" s="2">
        <f t="shared" si="18"/>
        <v>1401.1117702563929</v>
      </c>
      <c r="I72" s="2">
        <f t="shared" si="22"/>
        <v>0</v>
      </c>
      <c r="J72" s="2">
        <f>-IF(GrowthTax=Summary!$A$20,LTCGRate,IF(GrowthTax=Summary!$A$19,OIRate,"error"))*I72</f>
        <v>0</v>
      </c>
      <c r="K72" s="2">
        <f t="shared" si="20"/>
        <v>1947.545360656386</v>
      </c>
      <c r="L72" s="2">
        <f t="shared" si="23"/>
        <v>14557.551292963921</v>
      </c>
      <c r="M72" s="2">
        <f>L72-IF(GrowthTax=Summary!$A$20,LTCGRate,IF(GrowthTax=Summary!$A$19,OIRate,"error"))*(L72-C73)</f>
        <v>14557.551292963921</v>
      </c>
    </row>
    <row r="73" spans="1:13" x14ac:dyDescent="0.2">
      <c r="A73" s="1">
        <v>71</v>
      </c>
      <c r="B73" s="2">
        <f t="shared" si="21"/>
        <v>14557.551292963921</v>
      </c>
      <c r="C73" s="2">
        <f t="shared" si="19"/>
        <v>14557.551292963921</v>
      </c>
      <c r="D73" s="2">
        <f t="shared" si="15"/>
        <v>873.45307757783519</v>
      </c>
      <c r="E73" s="2">
        <f>-IF(YieldTax=Summary!$A$19,OIRate,IF(YieldTax=Summary!$A$20,LTCGRate,"error"))*D73</f>
        <v>-305.7085771522423</v>
      </c>
      <c r="F73" s="2">
        <f t="shared" si="16"/>
        <v>0</v>
      </c>
      <c r="G73" s="2">
        <f t="shared" si="17"/>
        <v>1455.7551292963922</v>
      </c>
      <c r="H73" s="2">
        <f t="shared" si="18"/>
        <v>1455.7551292963922</v>
      </c>
      <c r="I73" s="2">
        <f t="shared" si="22"/>
        <v>0</v>
      </c>
      <c r="J73" s="2">
        <f>-IF(GrowthTax=Summary!$A$20,LTCGRate,IF(GrowthTax=Summary!$A$19,OIRate,"error"))*I73</f>
        <v>0</v>
      </c>
      <c r="K73" s="2">
        <f t="shared" si="20"/>
        <v>2023.4996297219852</v>
      </c>
      <c r="L73" s="2">
        <f t="shared" si="23"/>
        <v>15125.295793389514</v>
      </c>
      <c r="M73" s="2">
        <f>L73-IF(GrowthTax=Summary!$A$20,LTCGRate,IF(GrowthTax=Summary!$A$19,OIRate,"error"))*(L73-C74)</f>
        <v>15125.295793389514</v>
      </c>
    </row>
    <row r="74" spans="1:13" x14ac:dyDescent="0.2">
      <c r="A74" s="1">
        <v>72</v>
      </c>
      <c r="B74" s="2">
        <f t="shared" si="21"/>
        <v>15125.295793389514</v>
      </c>
      <c r="C74" s="2">
        <f t="shared" si="19"/>
        <v>15125.295793389514</v>
      </c>
      <c r="D74" s="2">
        <f t="shared" si="15"/>
        <v>907.51774760337082</v>
      </c>
      <c r="E74" s="2">
        <f>-IF(YieldTax=Summary!$A$19,OIRate,IF(YieldTax=Summary!$A$20,LTCGRate,"error"))*D74</f>
        <v>-317.63121166117975</v>
      </c>
      <c r="F74" s="2">
        <f t="shared" si="16"/>
        <v>0</v>
      </c>
      <c r="G74" s="2">
        <f t="shared" si="17"/>
        <v>1512.5295793389514</v>
      </c>
      <c r="H74" s="2">
        <f t="shared" si="18"/>
        <v>1512.5295793389514</v>
      </c>
      <c r="I74" s="2">
        <f t="shared" si="22"/>
        <v>0</v>
      </c>
      <c r="J74" s="2">
        <f>-IF(GrowthTax=Summary!$A$20,LTCGRate,IF(GrowthTax=Summary!$A$19,OIRate,"error"))*I74</f>
        <v>0</v>
      </c>
      <c r="K74" s="2">
        <f t="shared" si="20"/>
        <v>2102.4161152811425</v>
      </c>
      <c r="L74" s="2">
        <f t="shared" si="23"/>
        <v>15715.182329331707</v>
      </c>
      <c r="M74" s="2">
        <f>L74-IF(GrowthTax=Summary!$A$20,LTCGRate,IF(GrowthTax=Summary!$A$19,OIRate,"error"))*(L74-C75)</f>
        <v>15715.182329331707</v>
      </c>
    </row>
    <row r="75" spans="1:13" x14ac:dyDescent="0.2">
      <c r="A75" s="1">
        <v>73</v>
      </c>
      <c r="B75" s="2">
        <f t="shared" si="21"/>
        <v>15715.182329331707</v>
      </c>
      <c r="C75" s="2">
        <f t="shared" si="19"/>
        <v>15715.182329331707</v>
      </c>
      <c r="D75" s="2">
        <f t="shared" si="15"/>
        <v>942.91093975990236</v>
      </c>
      <c r="E75" s="2">
        <f>-IF(YieldTax=Summary!$A$19,OIRate,IF(YieldTax=Summary!$A$20,LTCGRate,"error"))*D75</f>
        <v>-330.0188289159658</v>
      </c>
      <c r="F75" s="2">
        <f t="shared" si="16"/>
        <v>0</v>
      </c>
      <c r="G75" s="2">
        <f t="shared" si="17"/>
        <v>1571.5182329331708</v>
      </c>
      <c r="H75" s="2">
        <f t="shared" si="18"/>
        <v>1571.5182329331708</v>
      </c>
      <c r="I75" s="2">
        <f t="shared" si="22"/>
        <v>0</v>
      </c>
      <c r="J75" s="2">
        <f>-IF(GrowthTax=Summary!$A$20,LTCGRate,IF(GrowthTax=Summary!$A$19,OIRate,"error"))*I75</f>
        <v>0</v>
      </c>
      <c r="K75" s="2">
        <f t="shared" si="20"/>
        <v>2184.4103437771073</v>
      </c>
      <c r="L75" s="2">
        <f t="shared" si="23"/>
        <v>16328.074440175644</v>
      </c>
      <c r="M75" s="2">
        <f>L75-IF(GrowthTax=Summary!$A$20,LTCGRate,IF(GrowthTax=Summary!$A$19,OIRate,"error"))*(L75-C76)</f>
        <v>16328.074440175644</v>
      </c>
    </row>
    <row r="76" spans="1:13" x14ac:dyDescent="0.2">
      <c r="A76" s="1">
        <v>74</v>
      </c>
      <c r="B76" s="2">
        <f t="shared" si="21"/>
        <v>16328.074440175644</v>
      </c>
      <c r="C76" s="2">
        <f t="shared" si="19"/>
        <v>16328.074440175642</v>
      </c>
      <c r="D76" s="2">
        <f t="shared" si="15"/>
        <v>979.68446641053856</v>
      </c>
      <c r="E76" s="2">
        <f>-IF(YieldTax=Summary!$A$19,OIRate,IF(YieldTax=Summary!$A$20,LTCGRate,"error"))*D76</f>
        <v>-342.88956324368849</v>
      </c>
      <c r="F76" s="2">
        <f t="shared" si="16"/>
        <v>0</v>
      </c>
      <c r="G76" s="2">
        <f t="shared" si="17"/>
        <v>1632.8074440175644</v>
      </c>
      <c r="H76" s="2">
        <f t="shared" si="18"/>
        <v>1632.8074440175642</v>
      </c>
      <c r="I76" s="2">
        <f t="shared" si="22"/>
        <v>2.2737367544323206E-13</v>
      </c>
      <c r="J76" s="2">
        <f>-IF(GrowthTax=Summary!$A$20,LTCGRate,IF(GrowthTax=Summary!$A$19,OIRate,"error"))*I76</f>
        <v>-7.9580786405131216E-14</v>
      </c>
      <c r="K76" s="2">
        <f t="shared" si="20"/>
        <v>2269.6023471844146</v>
      </c>
      <c r="L76" s="2">
        <f t="shared" si="23"/>
        <v>16964.869343342496</v>
      </c>
      <c r="M76" s="2">
        <f>L76-IF(GrowthTax=Summary!$A$20,LTCGRate,IF(GrowthTax=Summary!$A$19,OIRate,"error"))*(L76-C77)</f>
        <v>16964.869343342496</v>
      </c>
    </row>
    <row r="77" spans="1:13" x14ac:dyDescent="0.2">
      <c r="A77" s="1">
        <v>75</v>
      </c>
      <c r="B77" s="2">
        <f t="shared" si="21"/>
        <v>16964.869343342496</v>
      </c>
      <c r="C77" s="2">
        <f t="shared" si="19"/>
        <v>16964.869343342492</v>
      </c>
      <c r="D77" s="2">
        <f t="shared" si="15"/>
        <v>1017.8921606005497</v>
      </c>
      <c r="E77" s="2">
        <f>-IF(YieldTax=Summary!$A$19,OIRate,IF(YieldTax=Summary!$A$20,LTCGRate,"error"))*D77</f>
        <v>-356.26225621019239</v>
      </c>
      <c r="F77" s="2">
        <f t="shared" si="16"/>
        <v>0</v>
      </c>
      <c r="G77" s="2">
        <f t="shared" si="17"/>
        <v>1696.4869343342498</v>
      </c>
      <c r="H77" s="2">
        <f t="shared" si="18"/>
        <v>1696.4869343342493</v>
      </c>
      <c r="I77" s="2">
        <f t="shared" si="22"/>
        <v>4.5474735088646412E-13</v>
      </c>
      <c r="J77" s="2">
        <f>-IF(GrowthTax=Summary!$A$20,LTCGRate,IF(GrowthTax=Summary!$A$19,OIRate,"error"))*I77</f>
        <v>-1.5916157281026243E-13</v>
      </c>
      <c r="K77" s="2">
        <f t="shared" si="20"/>
        <v>2358.1168387246071</v>
      </c>
      <c r="L77" s="2">
        <f t="shared" si="23"/>
        <v>17626.499247732852</v>
      </c>
      <c r="M77" s="2">
        <f>L77-IF(GrowthTax=Summary!$A$20,LTCGRate,IF(GrowthTax=Summary!$A$19,OIRate,"error"))*(L77-C78)</f>
        <v>17626.499247732852</v>
      </c>
    </row>
    <row r="78" spans="1:13" x14ac:dyDescent="0.2">
      <c r="A78" s="1">
        <v>76</v>
      </c>
      <c r="B78" s="2">
        <f t="shared" si="21"/>
        <v>17626.499247732852</v>
      </c>
      <c r="C78" s="2">
        <f t="shared" si="19"/>
        <v>17626.499247732849</v>
      </c>
      <c r="D78" s="2">
        <f t="shared" si="15"/>
        <v>1057.5899548639711</v>
      </c>
      <c r="E78" s="2">
        <f>-IF(YieldTax=Summary!$A$19,OIRate,IF(YieldTax=Summary!$A$20,LTCGRate,"error"))*D78</f>
        <v>-370.15648420238989</v>
      </c>
      <c r="F78" s="2">
        <f t="shared" si="16"/>
        <v>0</v>
      </c>
      <c r="G78" s="2">
        <f t="shared" si="17"/>
        <v>1762.6499247732854</v>
      </c>
      <c r="H78" s="2">
        <f t="shared" si="18"/>
        <v>1762.649924773285</v>
      </c>
      <c r="I78" s="2">
        <f t="shared" si="22"/>
        <v>4.5474735088646412E-13</v>
      </c>
      <c r="J78" s="2">
        <f>-IF(GrowthTax=Summary!$A$20,LTCGRate,IF(GrowthTax=Summary!$A$19,OIRate,"error"))*I78</f>
        <v>-1.5916157281026243E-13</v>
      </c>
      <c r="K78" s="2">
        <f t="shared" si="20"/>
        <v>2450.0833954348664</v>
      </c>
      <c r="L78" s="2">
        <f t="shared" si="23"/>
        <v>18313.932718394433</v>
      </c>
      <c r="M78" s="2">
        <f>L78-IF(GrowthTax=Summary!$A$20,LTCGRate,IF(GrowthTax=Summary!$A$19,OIRate,"error"))*(L78-C79)</f>
        <v>18313.932718394433</v>
      </c>
    </row>
    <row r="79" spans="1:13" x14ac:dyDescent="0.2">
      <c r="A79" s="1">
        <v>77</v>
      </c>
      <c r="B79" s="2">
        <f t="shared" si="21"/>
        <v>18313.932718394433</v>
      </c>
      <c r="C79" s="2">
        <f t="shared" si="19"/>
        <v>18313.93271839443</v>
      </c>
      <c r="D79" s="2">
        <f t="shared" si="15"/>
        <v>1098.835963103666</v>
      </c>
      <c r="E79" s="2">
        <f>-IF(YieldTax=Summary!$A$19,OIRate,IF(YieldTax=Summary!$A$20,LTCGRate,"error"))*D79</f>
        <v>-384.59258708628306</v>
      </c>
      <c r="F79" s="2">
        <f t="shared" si="16"/>
        <v>0</v>
      </c>
      <c r="G79" s="2">
        <f t="shared" si="17"/>
        <v>1831.3932718394435</v>
      </c>
      <c r="H79" s="2">
        <f t="shared" si="18"/>
        <v>1831.3932718394431</v>
      </c>
      <c r="I79" s="2">
        <f t="shared" si="22"/>
        <v>4.5474735088646412E-13</v>
      </c>
      <c r="J79" s="2">
        <f>-IF(GrowthTax=Summary!$A$20,LTCGRate,IF(GrowthTax=Summary!$A$19,OIRate,"error"))*I79</f>
        <v>-1.5916157281026243E-13</v>
      </c>
      <c r="K79" s="2">
        <f t="shared" si="20"/>
        <v>2545.6366478568261</v>
      </c>
      <c r="L79" s="2">
        <f t="shared" si="23"/>
        <v>19028.176094411814</v>
      </c>
      <c r="M79" s="2">
        <f>L79-IF(GrowthTax=Summary!$A$20,LTCGRate,IF(GrowthTax=Summary!$A$19,OIRate,"error"))*(L79-C80)</f>
        <v>19028.176094411814</v>
      </c>
    </row>
    <row r="80" spans="1:13" x14ac:dyDescent="0.2">
      <c r="A80" s="1">
        <v>78</v>
      </c>
      <c r="B80" s="2">
        <f t="shared" si="21"/>
        <v>19028.176094411814</v>
      </c>
      <c r="C80" s="2">
        <f t="shared" si="19"/>
        <v>19028.176094411814</v>
      </c>
      <c r="D80" s="2">
        <f t="shared" si="15"/>
        <v>1141.6905656647089</v>
      </c>
      <c r="E80" s="2">
        <f>-IF(YieldTax=Summary!$A$19,OIRate,IF(YieldTax=Summary!$A$20,LTCGRate,"error"))*D80</f>
        <v>-399.5916979826481</v>
      </c>
      <c r="F80" s="2">
        <f t="shared" si="16"/>
        <v>0</v>
      </c>
      <c r="G80" s="2">
        <f t="shared" si="17"/>
        <v>1902.8176094411815</v>
      </c>
      <c r="H80" s="2">
        <f t="shared" si="18"/>
        <v>1902.8176094411815</v>
      </c>
      <c r="I80" s="2">
        <f t="shared" si="22"/>
        <v>0</v>
      </c>
      <c r="J80" s="2">
        <f>-IF(GrowthTax=Summary!$A$20,LTCGRate,IF(GrowthTax=Summary!$A$19,OIRate,"error"))*I80</f>
        <v>0</v>
      </c>
      <c r="K80" s="2">
        <f t="shared" si="20"/>
        <v>2644.9164771232427</v>
      </c>
      <c r="L80" s="2">
        <f t="shared" si="23"/>
        <v>19770.274962093878</v>
      </c>
      <c r="M80" s="2">
        <f>L80-IF(GrowthTax=Summary!$A$20,LTCGRate,IF(GrowthTax=Summary!$A$19,OIRate,"error"))*(L80-C81)</f>
        <v>19770.274962093878</v>
      </c>
    </row>
    <row r="81" spans="1:13" x14ac:dyDescent="0.2">
      <c r="A81" s="1">
        <v>79</v>
      </c>
      <c r="B81" s="2">
        <f t="shared" si="21"/>
        <v>19770.274962093878</v>
      </c>
      <c r="C81" s="2">
        <f t="shared" si="19"/>
        <v>19770.274962093874</v>
      </c>
      <c r="D81" s="2">
        <f t="shared" si="15"/>
        <v>1186.2164977256325</v>
      </c>
      <c r="E81" s="2">
        <f>-IF(YieldTax=Summary!$A$19,OIRate,IF(YieldTax=Summary!$A$20,LTCGRate,"error"))*D81</f>
        <v>-415.17577420397134</v>
      </c>
      <c r="F81" s="2">
        <f t="shared" si="16"/>
        <v>0</v>
      </c>
      <c r="G81" s="2">
        <f t="shared" si="17"/>
        <v>1977.0274962093879</v>
      </c>
      <c r="H81" s="2">
        <f t="shared" si="18"/>
        <v>1977.0274962093874</v>
      </c>
      <c r="I81" s="2">
        <f t="shared" si="22"/>
        <v>4.5474735088646412E-13</v>
      </c>
      <c r="J81" s="2">
        <f>-IF(GrowthTax=Summary!$A$20,LTCGRate,IF(GrowthTax=Summary!$A$19,OIRate,"error"))*I81</f>
        <v>-1.5916157281026243E-13</v>
      </c>
      <c r="K81" s="2">
        <f t="shared" si="20"/>
        <v>2748.0682197310489</v>
      </c>
      <c r="L81" s="2">
        <f t="shared" si="23"/>
        <v>20541.31568561554</v>
      </c>
      <c r="M81" s="2">
        <f>L81-IF(GrowthTax=Summary!$A$20,LTCGRate,IF(GrowthTax=Summary!$A$19,OIRate,"error"))*(L81-C82)</f>
        <v>20541.31568561554</v>
      </c>
    </row>
    <row r="82" spans="1:13" x14ac:dyDescent="0.2">
      <c r="A82" s="1">
        <v>80</v>
      </c>
      <c r="B82" s="2">
        <f t="shared" si="21"/>
        <v>20541.31568561554</v>
      </c>
      <c r="C82" s="2">
        <f t="shared" si="19"/>
        <v>20541.315685615536</v>
      </c>
      <c r="D82" s="2">
        <f t="shared" si="15"/>
        <v>1232.4789411369325</v>
      </c>
      <c r="E82" s="2">
        <f>-IF(YieldTax=Summary!$A$19,OIRate,IF(YieldTax=Summary!$A$20,LTCGRate,"error"))*D82</f>
        <v>-431.36762939792635</v>
      </c>
      <c r="F82" s="2">
        <f t="shared" si="16"/>
        <v>0</v>
      </c>
      <c r="G82" s="2">
        <f t="shared" si="17"/>
        <v>2054.1315685615541</v>
      </c>
      <c r="H82" s="2">
        <f t="shared" si="18"/>
        <v>2054.1315685615536</v>
      </c>
      <c r="I82" s="2">
        <f t="shared" si="22"/>
        <v>4.5474735088646412E-13</v>
      </c>
      <c r="J82" s="2">
        <f>-IF(GrowthTax=Summary!$A$20,LTCGRate,IF(GrowthTax=Summary!$A$19,OIRate,"error"))*I82</f>
        <v>-1.5916157281026243E-13</v>
      </c>
      <c r="K82" s="2">
        <f t="shared" si="20"/>
        <v>2855.24288030056</v>
      </c>
      <c r="L82" s="2">
        <f t="shared" si="23"/>
        <v>21342.426997354545</v>
      </c>
      <c r="M82" s="2">
        <f>L82-IF(GrowthTax=Summary!$A$20,LTCGRate,IF(GrowthTax=Summary!$A$19,OIRate,"error"))*(L82-C83)</f>
        <v>21342.426997354545</v>
      </c>
    </row>
    <row r="83" spans="1:13" x14ac:dyDescent="0.2">
      <c r="A83" s="1">
        <v>81</v>
      </c>
      <c r="B83" s="2">
        <f t="shared" si="21"/>
        <v>21342.426997354545</v>
      </c>
      <c r="C83" s="2">
        <f t="shared" si="19"/>
        <v>21342.426997354545</v>
      </c>
      <c r="D83" s="2">
        <f t="shared" si="15"/>
        <v>1280.5456198412726</v>
      </c>
      <c r="E83" s="2">
        <f>-IF(YieldTax=Summary!$A$19,OIRate,IF(YieldTax=Summary!$A$20,LTCGRate,"error"))*D83</f>
        <v>-448.19096694444539</v>
      </c>
      <c r="F83" s="2">
        <f t="shared" si="16"/>
        <v>0</v>
      </c>
      <c r="G83" s="2">
        <f t="shared" si="17"/>
        <v>2134.2426997354546</v>
      </c>
      <c r="H83" s="2">
        <f t="shared" si="18"/>
        <v>2134.2426997354546</v>
      </c>
      <c r="I83" s="2">
        <f t="shared" si="22"/>
        <v>0</v>
      </c>
      <c r="J83" s="2">
        <f>-IF(GrowthTax=Summary!$A$20,LTCGRate,IF(GrowthTax=Summary!$A$19,OIRate,"error"))*I83</f>
        <v>0</v>
      </c>
      <c r="K83" s="2">
        <f t="shared" si="20"/>
        <v>2966.5973526322819</v>
      </c>
      <c r="L83" s="2">
        <f t="shared" si="23"/>
        <v>22174.781650251371</v>
      </c>
      <c r="M83" s="2">
        <f>L83-IF(GrowthTax=Summary!$A$20,LTCGRate,IF(GrowthTax=Summary!$A$19,OIRate,"error"))*(L83-C84)</f>
        <v>22174.781650251371</v>
      </c>
    </row>
    <row r="84" spans="1:13" x14ac:dyDescent="0.2">
      <c r="A84" s="1">
        <v>82</v>
      </c>
      <c r="B84" s="2">
        <f t="shared" si="21"/>
        <v>22174.781650251371</v>
      </c>
      <c r="C84" s="2">
        <f t="shared" si="19"/>
        <v>22174.781650251371</v>
      </c>
      <c r="D84" s="2">
        <f t="shared" si="15"/>
        <v>1330.4868990150821</v>
      </c>
      <c r="E84" s="2">
        <f>-IF(YieldTax=Summary!$A$19,OIRate,IF(YieldTax=Summary!$A$20,LTCGRate,"error"))*D84</f>
        <v>-465.67041465527871</v>
      </c>
      <c r="F84" s="2">
        <f t="shared" si="16"/>
        <v>0</v>
      </c>
      <c r="G84" s="2">
        <f t="shared" si="17"/>
        <v>2217.4781650251371</v>
      </c>
      <c r="H84" s="2">
        <f t="shared" si="18"/>
        <v>2217.4781650251371</v>
      </c>
      <c r="I84" s="2">
        <f t="shared" si="22"/>
        <v>0</v>
      </c>
      <c r="J84" s="2">
        <f>-IF(GrowthTax=Summary!$A$20,LTCGRate,IF(GrowthTax=Summary!$A$19,OIRate,"error"))*I84</f>
        <v>0</v>
      </c>
      <c r="K84" s="2">
        <f t="shared" si="20"/>
        <v>3082.2946493849404</v>
      </c>
      <c r="L84" s="2">
        <f t="shared" si="23"/>
        <v>23039.598134611173</v>
      </c>
      <c r="M84" s="2">
        <f>L84-IF(GrowthTax=Summary!$A$20,LTCGRate,IF(GrowthTax=Summary!$A$19,OIRate,"error"))*(L84-C85)</f>
        <v>23039.598134611173</v>
      </c>
    </row>
    <row r="85" spans="1:13" x14ac:dyDescent="0.2">
      <c r="A85" s="1">
        <v>83</v>
      </c>
      <c r="B85" s="2">
        <f t="shared" si="21"/>
        <v>23039.598134611173</v>
      </c>
      <c r="C85" s="2">
        <f t="shared" si="19"/>
        <v>23039.598134611177</v>
      </c>
      <c r="D85" s="2">
        <f t="shared" si="15"/>
        <v>1382.3758880766704</v>
      </c>
      <c r="E85" s="2">
        <f>-IF(YieldTax=Summary!$A$19,OIRate,IF(YieldTax=Summary!$A$20,LTCGRate,"error"))*D85</f>
        <v>-483.83156082683462</v>
      </c>
      <c r="F85" s="2">
        <f t="shared" si="16"/>
        <v>0</v>
      </c>
      <c r="G85" s="2">
        <f t="shared" si="17"/>
        <v>2303.9598134611174</v>
      </c>
      <c r="H85" s="2">
        <f t="shared" si="18"/>
        <v>2303.9598134611178</v>
      </c>
      <c r="I85" s="2">
        <f t="shared" si="22"/>
        <v>-4.5474735088646412E-13</v>
      </c>
      <c r="J85" s="2">
        <f>-IF(GrowthTax=Summary!$A$20,LTCGRate,IF(GrowthTax=Summary!$A$19,OIRate,"error"))*I85</f>
        <v>1.5916157281026243E-13</v>
      </c>
      <c r="K85" s="2">
        <f t="shared" si="20"/>
        <v>3202.5041407109534</v>
      </c>
      <c r="L85" s="2">
        <f t="shared" si="23"/>
        <v>23938.142461861007</v>
      </c>
      <c r="M85" s="2">
        <f>L85-IF(GrowthTax=Summary!$A$20,LTCGRate,IF(GrowthTax=Summary!$A$19,OIRate,"error"))*(L85-C86)</f>
        <v>23938.142461861007</v>
      </c>
    </row>
    <row r="86" spans="1:13" x14ac:dyDescent="0.2">
      <c r="A86" s="1">
        <v>84</v>
      </c>
      <c r="B86" s="2">
        <f t="shared" si="21"/>
        <v>23938.142461861007</v>
      </c>
      <c r="C86" s="2">
        <f t="shared" si="19"/>
        <v>23938.142461861011</v>
      </c>
      <c r="D86" s="2">
        <f t="shared" si="15"/>
        <v>1436.2885477116604</v>
      </c>
      <c r="E86" s="2">
        <f>-IF(YieldTax=Summary!$A$19,OIRate,IF(YieldTax=Summary!$A$20,LTCGRate,"error"))*D86</f>
        <v>-502.7009916990811</v>
      </c>
      <c r="F86" s="2">
        <f t="shared" si="16"/>
        <v>0</v>
      </c>
      <c r="G86" s="2">
        <f t="shared" si="17"/>
        <v>2393.8142461861007</v>
      </c>
      <c r="H86" s="2">
        <f t="shared" si="18"/>
        <v>2393.8142461861012</v>
      </c>
      <c r="I86" s="2">
        <f t="shared" si="22"/>
        <v>-4.5474735088646412E-13</v>
      </c>
      <c r="J86" s="2">
        <f>-IF(GrowthTax=Summary!$A$20,LTCGRate,IF(GrowthTax=Summary!$A$19,OIRate,"error"))*I86</f>
        <v>1.5916157281026243E-13</v>
      </c>
      <c r="K86" s="2">
        <f t="shared" si="20"/>
        <v>3327.4018021986803</v>
      </c>
      <c r="L86" s="2">
        <f t="shared" si="23"/>
        <v>24871.730017873586</v>
      </c>
      <c r="M86" s="2">
        <f>L86-IF(GrowthTax=Summary!$A$20,LTCGRate,IF(GrowthTax=Summary!$A$19,OIRate,"error"))*(L86-C87)</f>
        <v>24871.730017873586</v>
      </c>
    </row>
    <row r="87" spans="1:13" x14ac:dyDescent="0.2">
      <c r="A87" s="1">
        <v>85</v>
      </c>
      <c r="B87" s="2">
        <f t="shared" si="21"/>
        <v>24871.730017873586</v>
      </c>
      <c r="C87" s="2">
        <f t="shared" si="19"/>
        <v>24871.73001787359</v>
      </c>
      <c r="D87" s="2">
        <f t="shared" si="15"/>
        <v>1492.3038010724151</v>
      </c>
      <c r="E87" s="2">
        <f>-IF(YieldTax=Summary!$A$19,OIRate,IF(YieldTax=Summary!$A$20,LTCGRate,"error"))*D87</f>
        <v>-522.30633037534528</v>
      </c>
      <c r="F87" s="2">
        <f t="shared" si="16"/>
        <v>0</v>
      </c>
      <c r="G87" s="2">
        <f t="shared" si="17"/>
        <v>2487.1730017873588</v>
      </c>
      <c r="H87" s="2">
        <f t="shared" si="18"/>
        <v>2487.1730017873592</v>
      </c>
      <c r="I87" s="2">
        <f t="shared" si="22"/>
        <v>-4.5474735088646412E-13</v>
      </c>
      <c r="J87" s="2">
        <f>-IF(GrowthTax=Summary!$A$20,LTCGRate,IF(GrowthTax=Summary!$A$19,OIRate,"error"))*I87</f>
        <v>1.5916157281026243E-13</v>
      </c>
      <c r="K87" s="2">
        <f t="shared" si="20"/>
        <v>3457.1704724844285</v>
      </c>
      <c r="L87" s="2">
        <f t="shared" si="23"/>
        <v>25841.727488570657</v>
      </c>
      <c r="M87" s="2">
        <f>L87-IF(GrowthTax=Summary!$A$20,LTCGRate,IF(GrowthTax=Summary!$A$19,OIRate,"error"))*(L87-C88)</f>
        <v>25841.727488570657</v>
      </c>
    </row>
    <row r="88" spans="1:13" x14ac:dyDescent="0.2">
      <c r="A88" s="1">
        <v>86</v>
      </c>
      <c r="B88" s="2">
        <f t="shared" si="21"/>
        <v>25841.727488570657</v>
      </c>
      <c r="C88" s="2">
        <f t="shared" si="19"/>
        <v>25841.727488570657</v>
      </c>
      <c r="D88" s="2">
        <f t="shared" si="15"/>
        <v>1550.5036493142393</v>
      </c>
      <c r="E88" s="2">
        <f>-IF(YieldTax=Summary!$A$19,OIRate,IF(YieldTax=Summary!$A$20,LTCGRate,"error"))*D88</f>
        <v>-542.67627725998375</v>
      </c>
      <c r="F88" s="2">
        <f t="shared" si="16"/>
        <v>0</v>
      </c>
      <c r="G88" s="2">
        <f t="shared" si="17"/>
        <v>2584.1727488570659</v>
      </c>
      <c r="H88" s="2">
        <f t="shared" si="18"/>
        <v>2584.1727488570659</v>
      </c>
      <c r="I88" s="2">
        <f t="shared" si="22"/>
        <v>0</v>
      </c>
      <c r="J88" s="2">
        <f>-IF(GrowthTax=Summary!$A$20,LTCGRate,IF(GrowthTax=Summary!$A$19,OIRate,"error"))*I88</f>
        <v>0</v>
      </c>
      <c r="K88" s="2">
        <f t="shared" si="20"/>
        <v>3592.0001209113211</v>
      </c>
      <c r="L88" s="2">
        <f t="shared" si="23"/>
        <v>26849.554860624914</v>
      </c>
      <c r="M88" s="2">
        <f>L88-IF(GrowthTax=Summary!$A$20,LTCGRate,IF(GrowthTax=Summary!$A$19,OIRate,"error"))*(L88-C89)</f>
        <v>26849.554860624914</v>
      </c>
    </row>
    <row r="89" spans="1:13" x14ac:dyDescent="0.2">
      <c r="A89" s="1">
        <v>87</v>
      </c>
      <c r="B89" s="2">
        <f t="shared" si="21"/>
        <v>26849.554860624914</v>
      </c>
      <c r="C89" s="2">
        <f t="shared" si="19"/>
        <v>26849.554860624914</v>
      </c>
      <c r="D89" s="2">
        <f t="shared" si="15"/>
        <v>1610.9732916374949</v>
      </c>
      <c r="E89" s="2">
        <f>-IF(YieldTax=Summary!$A$19,OIRate,IF(YieldTax=Summary!$A$20,LTCGRate,"error"))*D89</f>
        <v>-563.84065207312312</v>
      </c>
      <c r="F89" s="2">
        <f t="shared" si="16"/>
        <v>0</v>
      </c>
      <c r="G89" s="2">
        <f t="shared" si="17"/>
        <v>2684.9554860624917</v>
      </c>
      <c r="H89" s="2">
        <f t="shared" si="18"/>
        <v>2684.9554860624917</v>
      </c>
      <c r="I89" s="2">
        <f t="shared" si="22"/>
        <v>0</v>
      </c>
      <c r="J89" s="2">
        <f>-IF(GrowthTax=Summary!$A$20,LTCGRate,IF(GrowthTax=Summary!$A$19,OIRate,"error"))*I89</f>
        <v>0</v>
      </c>
      <c r="K89" s="2">
        <f t="shared" si="20"/>
        <v>3732.0881256268631</v>
      </c>
      <c r="L89" s="2">
        <f t="shared" si="23"/>
        <v>27896.687500189288</v>
      </c>
      <c r="M89" s="2">
        <f>L89-IF(GrowthTax=Summary!$A$20,LTCGRate,IF(GrowthTax=Summary!$A$19,OIRate,"error"))*(L89-C90)</f>
        <v>27896.687500189288</v>
      </c>
    </row>
    <row r="90" spans="1:13" x14ac:dyDescent="0.2">
      <c r="A90" s="1">
        <v>88</v>
      </c>
      <c r="B90" s="2">
        <f t="shared" si="21"/>
        <v>27896.687500189288</v>
      </c>
      <c r="C90" s="2">
        <f t="shared" si="19"/>
        <v>27896.687500189284</v>
      </c>
      <c r="D90" s="2">
        <f t="shared" si="15"/>
        <v>1673.8012500113573</v>
      </c>
      <c r="E90" s="2">
        <f>-IF(YieldTax=Summary!$A$19,OIRate,IF(YieldTax=Summary!$A$20,LTCGRate,"error"))*D90</f>
        <v>-585.83043750397496</v>
      </c>
      <c r="F90" s="2">
        <f t="shared" si="16"/>
        <v>0</v>
      </c>
      <c r="G90" s="2">
        <f t="shared" si="17"/>
        <v>2789.6687500189291</v>
      </c>
      <c r="H90" s="2">
        <f t="shared" si="18"/>
        <v>2789.6687500189287</v>
      </c>
      <c r="I90" s="2">
        <f t="shared" si="22"/>
        <v>4.5474735088646412E-13</v>
      </c>
      <c r="J90" s="2">
        <f>-IF(GrowthTax=Summary!$A$20,LTCGRate,IF(GrowthTax=Summary!$A$19,OIRate,"error"))*I90</f>
        <v>-1.5916157281026243E-13</v>
      </c>
      <c r="K90" s="2">
        <f t="shared" si="20"/>
        <v>3877.6395625263112</v>
      </c>
      <c r="L90" s="2">
        <f t="shared" si="23"/>
        <v>28984.658312696673</v>
      </c>
      <c r="M90" s="2">
        <f>L90-IF(GrowthTax=Summary!$A$20,LTCGRate,IF(GrowthTax=Summary!$A$19,OIRate,"error"))*(L90-C91)</f>
        <v>28984.658312696669</v>
      </c>
    </row>
    <row r="91" spans="1:13" x14ac:dyDescent="0.2">
      <c r="A91" s="1">
        <v>89</v>
      </c>
      <c r="B91" s="2">
        <f t="shared" si="21"/>
        <v>28984.658312696673</v>
      </c>
      <c r="C91" s="2">
        <f t="shared" si="19"/>
        <v>28984.658312696665</v>
      </c>
      <c r="D91" s="2">
        <f t="shared" si="15"/>
        <v>1739.0794987618003</v>
      </c>
      <c r="E91" s="2">
        <f>-IF(YieldTax=Summary!$A$19,OIRate,IF(YieldTax=Summary!$A$20,LTCGRate,"error"))*D91</f>
        <v>-608.67782456663008</v>
      </c>
      <c r="F91" s="2">
        <f t="shared" si="16"/>
        <v>0</v>
      </c>
      <c r="G91" s="2">
        <f t="shared" si="17"/>
        <v>2898.4658312696674</v>
      </c>
      <c r="H91" s="2">
        <f t="shared" si="18"/>
        <v>2898.4658312696665</v>
      </c>
      <c r="I91" s="2">
        <f t="shared" si="22"/>
        <v>9.0949470177292824E-13</v>
      </c>
      <c r="J91" s="2">
        <f>-IF(GrowthTax=Summary!$A$20,LTCGRate,IF(GrowthTax=Summary!$A$19,OIRate,"error"))*I91</f>
        <v>-3.1832314562052486E-13</v>
      </c>
      <c r="K91" s="2">
        <f t="shared" si="20"/>
        <v>4028.8675054648374</v>
      </c>
      <c r="L91" s="2">
        <f t="shared" si="23"/>
        <v>30115.059986891843</v>
      </c>
      <c r="M91" s="2">
        <f>L91-IF(GrowthTax=Summary!$A$20,LTCGRate,IF(GrowthTax=Summary!$A$19,OIRate,"error"))*(L91-C92)</f>
        <v>30115.05998689184</v>
      </c>
    </row>
    <row r="92" spans="1:13" x14ac:dyDescent="0.2">
      <c r="A92" s="1">
        <v>90</v>
      </c>
      <c r="B92" s="2">
        <f t="shared" si="21"/>
        <v>30115.059986891843</v>
      </c>
      <c r="C92" s="2">
        <f t="shared" si="19"/>
        <v>30115.059986891836</v>
      </c>
      <c r="D92" s="2">
        <f t="shared" si="15"/>
        <v>1806.9035992135105</v>
      </c>
      <c r="E92" s="2">
        <f>-IF(YieldTax=Summary!$A$19,OIRate,IF(YieldTax=Summary!$A$20,LTCGRate,"error"))*D92</f>
        <v>-632.41625972472866</v>
      </c>
      <c r="F92" s="2">
        <f t="shared" si="16"/>
        <v>0</v>
      </c>
      <c r="G92" s="2">
        <f t="shared" si="17"/>
        <v>3011.5059986891847</v>
      </c>
      <c r="H92" s="2">
        <f t="shared" si="18"/>
        <v>3011.5059986891838</v>
      </c>
      <c r="I92" s="2">
        <f t="shared" si="22"/>
        <v>9.0949470177292824E-13</v>
      </c>
      <c r="J92" s="2">
        <f>-IF(GrowthTax=Summary!$A$20,LTCGRate,IF(GrowthTax=Summary!$A$19,OIRate,"error"))*I92</f>
        <v>-3.1832314562052486E-13</v>
      </c>
      <c r="K92" s="2">
        <f t="shared" si="20"/>
        <v>4185.9933381779665</v>
      </c>
      <c r="L92" s="2">
        <f t="shared" si="23"/>
        <v>31289.547326380627</v>
      </c>
      <c r="M92" s="2">
        <f>L92-IF(GrowthTax=Summary!$A$20,LTCGRate,IF(GrowthTax=Summary!$A$19,OIRate,"error"))*(L92-C93)</f>
        <v>31289.547326380623</v>
      </c>
    </row>
    <row r="93" spans="1:13" x14ac:dyDescent="0.2">
      <c r="A93" s="1">
        <v>91</v>
      </c>
      <c r="B93" s="2">
        <f t="shared" si="21"/>
        <v>31289.547326380627</v>
      </c>
      <c r="C93" s="2">
        <f t="shared" si="19"/>
        <v>31289.54732638062</v>
      </c>
      <c r="D93" s="2">
        <f t="shared" si="15"/>
        <v>1877.3728395828375</v>
      </c>
      <c r="E93" s="2">
        <f>-IF(YieldTax=Summary!$A$19,OIRate,IF(YieldTax=Summary!$A$20,LTCGRate,"error"))*D93</f>
        <v>-657.08049385399306</v>
      </c>
      <c r="F93" s="2">
        <f t="shared" si="16"/>
        <v>0</v>
      </c>
      <c r="G93" s="2">
        <f t="shared" si="17"/>
        <v>3128.954732638063</v>
      </c>
      <c r="H93" s="2">
        <f t="shared" si="18"/>
        <v>3128.9547326380621</v>
      </c>
      <c r="I93" s="2">
        <f t="shared" si="22"/>
        <v>9.0949470177292824E-13</v>
      </c>
      <c r="J93" s="2">
        <f>-IF(GrowthTax=Summary!$A$20,LTCGRate,IF(GrowthTax=Summary!$A$19,OIRate,"error"))*I93</f>
        <v>-3.1832314562052486E-13</v>
      </c>
      <c r="K93" s="2">
        <f t="shared" si="20"/>
        <v>4349.2470783669069</v>
      </c>
      <c r="L93" s="2">
        <f t="shared" si="23"/>
        <v>32509.839672109472</v>
      </c>
      <c r="M93" s="2">
        <f>L93-IF(GrowthTax=Summary!$A$20,LTCGRate,IF(GrowthTax=Summary!$A$19,OIRate,"error"))*(L93-C94)</f>
        <v>32509.839672109469</v>
      </c>
    </row>
    <row r="94" spans="1:13" x14ac:dyDescent="0.2">
      <c r="A94" s="1">
        <v>92</v>
      </c>
      <c r="B94" s="2">
        <f t="shared" si="21"/>
        <v>32509.839672109472</v>
      </c>
      <c r="C94" s="2">
        <f t="shared" si="19"/>
        <v>32509.839672109461</v>
      </c>
      <c r="D94" s="2">
        <f t="shared" si="15"/>
        <v>1950.5903803265683</v>
      </c>
      <c r="E94" s="2">
        <f>-IF(YieldTax=Summary!$A$19,OIRate,IF(YieldTax=Summary!$A$20,LTCGRate,"error"))*D94</f>
        <v>-682.70663311429882</v>
      </c>
      <c r="F94" s="2">
        <f t="shared" si="16"/>
        <v>0</v>
      </c>
      <c r="G94" s="2">
        <f t="shared" si="17"/>
        <v>3250.9839672109474</v>
      </c>
      <c r="H94" s="2">
        <f t="shared" si="18"/>
        <v>3250.9839672109465</v>
      </c>
      <c r="I94" s="2">
        <f t="shared" si="22"/>
        <v>9.0949470177292824E-13</v>
      </c>
      <c r="J94" s="2">
        <f>-IF(GrowthTax=Summary!$A$20,LTCGRate,IF(GrowthTax=Summary!$A$19,OIRate,"error"))*I94</f>
        <v>-3.1832314562052486E-13</v>
      </c>
      <c r="K94" s="2">
        <f t="shared" si="20"/>
        <v>4518.8677144232161</v>
      </c>
      <c r="L94" s="2">
        <f t="shared" si="23"/>
        <v>33777.723419321745</v>
      </c>
      <c r="M94" s="2">
        <f>L94-IF(GrowthTax=Summary!$A$20,LTCGRate,IF(GrowthTax=Summary!$A$19,OIRate,"error"))*(L94-C95)</f>
        <v>33777.723419321737</v>
      </c>
    </row>
    <row r="95" spans="1:13" x14ac:dyDescent="0.2">
      <c r="A95" s="1">
        <v>93</v>
      </c>
      <c r="B95" s="2">
        <f t="shared" si="21"/>
        <v>33777.723419321745</v>
      </c>
      <c r="C95" s="2">
        <f t="shared" si="19"/>
        <v>33777.72341932173</v>
      </c>
      <c r="D95" s="2">
        <f t="shared" si="15"/>
        <v>2026.6634051593046</v>
      </c>
      <c r="E95" s="2">
        <f>-IF(YieldTax=Summary!$A$19,OIRate,IF(YieldTax=Summary!$A$20,LTCGRate,"error"))*D95</f>
        <v>-709.33219180575657</v>
      </c>
      <c r="F95" s="2">
        <f t="shared" si="16"/>
        <v>0</v>
      </c>
      <c r="G95" s="2">
        <f t="shared" si="17"/>
        <v>3377.7723419321746</v>
      </c>
      <c r="H95" s="2">
        <f t="shared" si="18"/>
        <v>3377.7723419321733</v>
      </c>
      <c r="I95" s="2">
        <f t="shared" si="22"/>
        <v>1.3642420526593924E-12</v>
      </c>
      <c r="J95" s="2">
        <f>-IF(GrowthTax=Summary!$A$20,LTCGRate,IF(GrowthTax=Summary!$A$19,OIRate,"error"))*I95</f>
        <v>-4.7748471843078724E-13</v>
      </c>
      <c r="K95" s="2">
        <f t="shared" si="20"/>
        <v>4695.103555285722</v>
      </c>
      <c r="L95" s="2">
        <f t="shared" si="23"/>
        <v>35095.054632675296</v>
      </c>
      <c r="M95" s="2">
        <f>L95-IF(GrowthTax=Summary!$A$20,LTCGRate,IF(GrowthTax=Summary!$A$19,OIRate,"error"))*(L95-C96)</f>
        <v>35095.054632675288</v>
      </c>
    </row>
    <row r="96" spans="1:13" x14ac:dyDescent="0.2">
      <c r="A96" s="1">
        <v>94</v>
      </c>
      <c r="B96" s="2">
        <f t="shared" si="21"/>
        <v>35095.054632675296</v>
      </c>
      <c r="C96" s="2">
        <f t="shared" si="19"/>
        <v>35095.054632675281</v>
      </c>
      <c r="D96" s="2">
        <f t="shared" si="15"/>
        <v>2105.7032779605179</v>
      </c>
      <c r="E96" s="2">
        <f>-IF(YieldTax=Summary!$A$19,OIRate,IF(YieldTax=Summary!$A$20,LTCGRate,"error"))*D96</f>
        <v>-736.99614728618121</v>
      </c>
      <c r="F96" s="2">
        <f t="shared" si="16"/>
        <v>0</v>
      </c>
      <c r="G96" s="2">
        <f t="shared" si="17"/>
        <v>3509.5054632675296</v>
      </c>
      <c r="H96" s="2">
        <f t="shared" si="18"/>
        <v>3509.5054632675283</v>
      </c>
      <c r="I96" s="2">
        <f t="shared" si="22"/>
        <v>1.3642420526593924E-12</v>
      </c>
      <c r="J96" s="2">
        <f>-IF(GrowthTax=Summary!$A$20,LTCGRate,IF(GrowthTax=Summary!$A$19,OIRate,"error"))*I96</f>
        <v>-4.7748471843078724E-13</v>
      </c>
      <c r="K96" s="2">
        <f t="shared" si="20"/>
        <v>4878.2125939418656</v>
      </c>
      <c r="L96" s="2">
        <f t="shared" si="23"/>
        <v>36463.761763349634</v>
      </c>
      <c r="M96" s="2">
        <f>L96-IF(GrowthTax=Summary!$A$20,LTCGRate,IF(GrowthTax=Summary!$A$19,OIRate,"error"))*(L96-C97)</f>
        <v>36463.761763349627</v>
      </c>
    </row>
    <row r="97" spans="1:13" x14ac:dyDescent="0.2">
      <c r="A97" s="1">
        <v>95</v>
      </c>
      <c r="B97" s="2">
        <f t="shared" si="21"/>
        <v>36463.761763349634</v>
      </c>
      <c r="C97" s="2">
        <f t="shared" si="19"/>
        <v>36463.761763349619</v>
      </c>
      <c r="D97" s="2">
        <f t="shared" si="15"/>
        <v>2187.8257058009781</v>
      </c>
      <c r="E97" s="2">
        <f>-IF(YieldTax=Summary!$A$19,OIRate,IF(YieldTax=Summary!$A$20,LTCGRate,"error"))*D97</f>
        <v>-765.73899703034226</v>
      </c>
      <c r="F97" s="2">
        <f t="shared" si="16"/>
        <v>0</v>
      </c>
      <c r="G97" s="2">
        <f t="shared" si="17"/>
        <v>3646.3761763349635</v>
      </c>
      <c r="H97" s="2">
        <f t="shared" si="18"/>
        <v>3646.3761763349621</v>
      </c>
      <c r="I97" s="2">
        <f t="shared" si="22"/>
        <v>1.3642420526593924E-12</v>
      </c>
      <c r="J97" s="2">
        <f>-IF(GrowthTax=Summary!$A$20,LTCGRate,IF(GrowthTax=Summary!$A$19,OIRate,"error"))*I97</f>
        <v>-4.7748471843078724E-13</v>
      </c>
      <c r="K97" s="2">
        <f t="shared" si="20"/>
        <v>5068.4628851055995</v>
      </c>
      <c r="L97" s="2">
        <f t="shared" si="23"/>
        <v>37885.848472120269</v>
      </c>
      <c r="M97" s="2">
        <f>L97-IF(GrowthTax=Summary!$A$20,LTCGRate,IF(GrowthTax=Summary!$A$19,OIRate,"error"))*(L97-C98)</f>
        <v>37885.848472120262</v>
      </c>
    </row>
    <row r="98" spans="1:13" x14ac:dyDescent="0.2">
      <c r="A98" s="1">
        <v>96</v>
      </c>
      <c r="B98" s="2">
        <f t="shared" si="21"/>
        <v>37885.848472120269</v>
      </c>
      <c r="C98" s="2">
        <f t="shared" si="19"/>
        <v>37885.848472120255</v>
      </c>
      <c r="D98" s="2">
        <f t="shared" si="15"/>
        <v>2273.1509083272163</v>
      </c>
      <c r="E98" s="2">
        <f>-IF(YieldTax=Summary!$A$19,OIRate,IF(YieldTax=Summary!$A$20,LTCGRate,"error"))*D98</f>
        <v>-795.60281791452564</v>
      </c>
      <c r="F98" s="2">
        <f t="shared" si="16"/>
        <v>0</v>
      </c>
      <c r="G98" s="2">
        <f t="shared" si="17"/>
        <v>3788.5848472120269</v>
      </c>
      <c r="H98" s="2">
        <f t="shared" si="18"/>
        <v>3788.5848472120256</v>
      </c>
      <c r="I98" s="2">
        <f t="shared" si="22"/>
        <v>1.3642420526593924E-12</v>
      </c>
      <c r="J98" s="2">
        <f>-IF(GrowthTax=Summary!$A$20,LTCGRate,IF(GrowthTax=Summary!$A$19,OIRate,"error"))*I98</f>
        <v>-4.7748471843078724E-13</v>
      </c>
      <c r="K98" s="2">
        <f t="shared" si="20"/>
        <v>5266.1329376247168</v>
      </c>
      <c r="L98" s="2">
        <f t="shared" si="23"/>
        <v>39363.396562532958</v>
      </c>
      <c r="M98" s="2">
        <f>L98-IF(GrowthTax=Summary!$A$20,LTCGRate,IF(GrowthTax=Summary!$A$19,OIRate,"error"))*(L98-C99)</f>
        <v>39363.396562532951</v>
      </c>
    </row>
    <row r="99" spans="1:13" x14ac:dyDescent="0.2">
      <c r="A99" s="1">
        <v>97</v>
      </c>
      <c r="B99" s="2">
        <f t="shared" si="21"/>
        <v>39363.396562532958</v>
      </c>
      <c r="C99" s="2">
        <f t="shared" si="19"/>
        <v>39363.396562532944</v>
      </c>
      <c r="D99" s="2">
        <f t="shared" si="15"/>
        <v>2361.8037937519775</v>
      </c>
      <c r="E99" s="2">
        <f>-IF(YieldTax=Summary!$A$19,OIRate,IF(YieldTax=Summary!$A$20,LTCGRate,"error"))*D99</f>
        <v>-826.63132781319212</v>
      </c>
      <c r="F99" s="2">
        <f t="shared" si="16"/>
        <v>0</v>
      </c>
      <c r="G99" s="2">
        <f t="shared" ref="G99:G103" si="24">(B99+F99)*Turnover</f>
        <v>3936.3396562532962</v>
      </c>
      <c r="H99" s="2">
        <f t="shared" si="18"/>
        <v>3936.3396562532944</v>
      </c>
      <c r="I99" s="2">
        <f t="shared" si="22"/>
        <v>1.8189894035458565E-12</v>
      </c>
      <c r="J99" s="2">
        <f>-IF(GrowthTax=Summary!$A$20,LTCGRate,IF(GrowthTax=Summary!$A$19,OIRate,"error"))*I99</f>
        <v>-6.3664629124104973E-13</v>
      </c>
      <c r="K99" s="2">
        <f t="shared" si="20"/>
        <v>5471.5121221920808</v>
      </c>
      <c r="L99" s="2">
        <f t="shared" si="23"/>
        <v>40898.569028471742</v>
      </c>
      <c r="M99" s="2">
        <f>L99-IF(GrowthTax=Summary!$A$20,LTCGRate,IF(GrowthTax=Summary!$A$19,OIRate,"error"))*(L99-C100)</f>
        <v>40898.569028471735</v>
      </c>
    </row>
    <row r="100" spans="1:13" x14ac:dyDescent="0.2">
      <c r="A100" s="1">
        <v>98</v>
      </c>
      <c r="B100" s="2">
        <f t="shared" si="21"/>
        <v>40898.569028471742</v>
      </c>
      <c r="C100" s="2">
        <f t="shared" si="19"/>
        <v>40898.569028471728</v>
      </c>
      <c r="D100" s="2">
        <f t="shared" si="15"/>
        <v>2453.9141417083042</v>
      </c>
      <c r="E100" s="2">
        <f>-IF(YieldTax=Summary!$A$19,OIRate,IF(YieldTax=Summary!$A$20,LTCGRate,"error"))*D100</f>
        <v>-858.86994959790638</v>
      </c>
      <c r="F100" s="2">
        <f t="shared" si="16"/>
        <v>0</v>
      </c>
      <c r="G100" s="2">
        <f t="shared" si="24"/>
        <v>4089.8569028471743</v>
      </c>
      <c r="H100" s="2">
        <f t="shared" si="18"/>
        <v>4089.8569028471729</v>
      </c>
      <c r="I100" s="2">
        <f t="shared" si="22"/>
        <v>1.3642420526593924E-12</v>
      </c>
      <c r="J100" s="2">
        <f>-IF(GrowthTax=Summary!$A$20,LTCGRate,IF(GrowthTax=Summary!$A$19,OIRate,"error"))*I100</f>
        <v>-4.7748471843078724E-13</v>
      </c>
      <c r="K100" s="2">
        <f t="shared" si="20"/>
        <v>5684.9010949575722</v>
      </c>
      <c r="L100" s="2">
        <f t="shared" si="23"/>
        <v>42493.613220582134</v>
      </c>
      <c r="M100" s="2">
        <f>L100-IF(GrowthTax=Summary!$A$20,LTCGRate,IF(GrowthTax=Summary!$A$19,OIRate,"error"))*(L100-C101)</f>
        <v>42493.613220582134</v>
      </c>
    </row>
    <row r="101" spans="1:13" x14ac:dyDescent="0.2">
      <c r="A101" s="1">
        <v>99</v>
      </c>
      <c r="B101" s="2">
        <f t="shared" si="21"/>
        <v>42493.613220582134</v>
      </c>
      <c r="C101" s="2">
        <f t="shared" si="19"/>
        <v>42493.613220582127</v>
      </c>
      <c r="D101" s="2">
        <f t="shared" si="15"/>
        <v>2549.6167932349281</v>
      </c>
      <c r="E101" s="2">
        <f>-IF(YieldTax=Summary!$A$19,OIRate,IF(YieldTax=Summary!$A$20,LTCGRate,"error"))*D101</f>
        <v>-892.36587763222474</v>
      </c>
      <c r="F101" s="2">
        <f t="shared" si="16"/>
        <v>0</v>
      </c>
      <c r="G101" s="2">
        <f t="shared" si="24"/>
        <v>4249.3613220582138</v>
      </c>
      <c r="H101" s="2">
        <f t="shared" si="18"/>
        <v>4249.3613220582129</v>
      </c>
      <c r="I101" s="2">
        <f t="shared" si="22"/>
        <v>9.0949470177292824E-13</v>
      </c>
      <c r="J101" s="2">
        <f>-IF(GrowthTax=Summary!$A$20,LTCGRate,IF(GrowthTax=Summary!$A$19,OIRate,"error"))*I101</f>
        <v>-3.1832314562052486E-13</v>
      </c>
      <c r="K101" s="2">
        <f t="shared" si="20"/>
        <v>5906.6122376609173</v>
      </c>
      <c r="L101" s="2">
        <f t="shared" si="23"/>
        <v>44150.864136184835</v>
      </c>
      <c r="M101" s="2">
        <f>L101-IF(GrowthTax=Summary!$A$20,LTCGRate,IF(GrowthTax=Summary!$A$19,OIRate,"error"))*(L101-C102)</f>
        <v>44150.864136184835</v>
      </c>
    </row>
    <row r="102" spans="1:13" x14ac:dyDescent="0.2">
      <c r="A102" s="1">
        <v>100</v>
      </c>
      <c r="B102" s="2">
        <f t="shared" si="21"/>
        <v>44150.864136184835</v>
      </c>
      <c r="C102" s="2">
        <f t="shared" si="19"/>
        <v>44150.864136184835</v>
      </c>
      <c r="D102" s="2">
        <f t="shared" si="15"/>
        <v>2649.0518481710901</v>
      </c>
      <c r="E102" s="2">
        <f>-IF(YieldTax=Summary!$A$19,OIRate,IF(YieldTax=Summary!$A$20,LTCGRate,"error"))*D102</f>
        <v>-927.16814685988152</v>
      </c>
      <c r="F102" s="2">
        <f t="shared" si="16"/>
        <v>0</v>
      </c>
      <c r="G102" s="2">
        <f t="shared" si="24"/>
        <v>4415.0864136184837</v>
      </c>
      <c r="H102" s="2">
        <f t="shared" si="18"/>
        <v>4415.0864136184837</v>
      </c>
      <c r="I102" s="2">
        <f t="shared" si="22"/>
        <v>0</v>
      </c>
      <c r="J102" s="2">
        <f>-IF(GrowthTax=Summary!$A$20,LTCGRate,IF(GrowthTax=Summary!$A$19,OIRate,"error"))*I102</f>
        <v>0</v>
      </c>
      <c r="K102" s="2">
        <f t="shared" si="20"/>
        <v>6136.9701149296925</v>
      </c>
      <c r="L102" s="2">
        <f t="shared" si="23"/>
        <v>45872.747837496041</v>
      </c>
      <c r="M102" s="2">
        <f>L102-IF(GrowthTax=Summary!$A$20,LTCGRate,IF(GrowthTax=Summary!$A$19,OIRate,"error"))*(L102-C103)</f>
        <v>45872.747837496041</v>
      </c>
    </row>
    <row r="103" spans="1:13" x14ac:dyDescent="0.2">
      <c r="A103" s="1">
        <v>101</v>
      </c>
      <c r="B103" s="2">
        <f t="shared" si="21"/>
        <v>45872.747837496041</v>
      </c>
      <c r="C103" s="2">
        <f t="shared" si="19"/>
        <v>45872.747837496048</v>
      </c>
      <c r="D103" s="2">
        <f t="shared" si="15"/>
        <v>2752.3648702497621</v>
      </c>
      <c r="E103" s="2">
        <f>-IF(YieldTax=Summary!$A$19,OIRate,IF(YieldTax=Summary!$A$20,LTCGRate,"error"))*D103</f>
        <v>-963.32770458741663</v>
      </c>
      <c r="F103" s="2">
        <f t="shared" si="16"/>
        <v>0</v>
      </c>
      <c r="G103" s="2">
        <f t="shared" si="24"/>
        <v>4587.2747837496045</v>
      </c>
      <c r="H103" s="2">
        <f t="shared" si="18"/>
        <v>4587.2747837496054</v>
      </c>
      <c r="I103" s="2">
        <f t="shared" si="22"/>
        <v>-9.0949470177292824E-13</v>
      </c>
      <c r="J103" s="2">
        <f>-IF(GrowthTax=Summary!$A$20,LTCGRate,IF(GrowthTax=Summary!$A$19,OIRate,"error"))*I103</f>
        <v>3.1832314562052486E-13</v>
      </c>
      <c r="K103" s="2">
        <f>G103+J103+D103+E103</f>
        <v>6376.3119494119501</v>
      </c>
      <c r="L103" s="2">
        <f t="shared" si="23"/>
        <v>47661.78500315838</v>
      </c>
      <c r="M103" s="2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"/>
  <sheetViews>
    <sheetView topLeftCell="A61" workbookViewId="0">
      <selection activeCell="D3" sqref="D3:D103"/>
    </sheetView>
  </sheetViews>
  <sheetFormatPr defaultRowHeight="12.75" x14ac:dyDescent="0.2"/>
  <cols>
    <col min="1" max="1" width="7" bestFit="1" customWidth="1"/>
    <col min="2" max="4" width="14.42578125" bestFit="1" customWidth="1"/>
  </cols>
  <sheetData>
    <row r="1" spans="1:6" x14ac:dyDescent="0.2">
      <c r="A1" s="3"/>
      <c r="B1" s="4" t="s">
        <v>9</v>
      </c>
      <c r="C1" s="4" t="s">
        <v>17</v>
      </c>
      <c r="D1" s="4" t="s">
        <v>6</v>
      </c>
    </row>
    <row r="2" spans="1:6" x14ac:dyDescent="0.2">
      <c r="A2" s="3" t="s">
        <v>8</v>
      </c>
      <c r="B2" s="4" t="s">
        <v>7</v>
      </c>
      <c r="C2" s="4" t="s">
        <v>7</v>
      </c>
      <c r="D2" s="4" t="s">
        <v>7</v>
      </c>
    </row>
    <row r="3" spans="1:6" x14ac:dyDescent="0.2">
      <c r="A3" s="1">
        <v>1</v>
      </c>
      <c r="B3" s="2">
        <f>InitInv</f>
        <v>1000</v>
      </c>
      <c r="C3" s="2">
        <f t="shared" ref="C3:C66" si="0">B3*(1+TotalReturn-AnnuityCharge)</f>
        <v>1057.5</v>
      </c>
      <c r="D3" s="2">
        <f>C3-(C3-InitInv)*(OIRate+Penalty)</f>
        <v>1031.625</v>
      </c>
    </row>
    <row r="4" spans="1:6" x14ac:dyDescent="0.2">
      <c r="A4" s="1">
        <v>2</v>
      </c>
      <c r="B4" s="2">
        <f t="shared" ref="B4:B32" si="1">C3</f>
        <v>1057.5</v>
      </c>
      <c r="C4" s="2">
        <f t="shared" si="0"/>
        <v>1118.3062500000001</v>
      </c>
      <c r="D4" s="2">
        <f>C4-(C4-InitInv)*(OIRate+Penalty)</f>
        <v>1065.0684375000001</v>
      </c>
    </row>
    <row r="5" spans="1:6" x14ac:dyDescent="0.2">
      <c r="A5" s="1">
        <v>3</v>
      </c>
      <c r="B5" s="2">
        <f t="shared" si="1"/>
        <v>1118.3062500000001</v>
      </c>
      <c r="C5" s="2">
        <f t="shared" si="0"/>
        <v>1182.6088593750003</v>
      </c>
      <c r="D5" s="2">
        <f>C5-(C5-InitInv)*(OIRate+Penalty)</f>
        <v>1100.4348726562503</v>
      </c>
    </row>
    <row r="6" spans="1:6" x14ac:dyDescent="0.2">
      <c r="A6" s="1">
        <v>4</v>
      </c>
      <c r="B6" s="2">
        <f t="shared" si="1"/>
        <v>1182.6088593750003</v>
      </c>
      <c r="C6" s="2">
        <f t="shared" si="0"/>
        <v>1250.6088687890629</v>
      </c>
      <c r="D6" s="2">
        <f>C6-(C6-InitInv)*(OIRate+Penalty)</f>
        <v>1137.8348778339846</v>
      </c>
    </row>
    <row r="7" spans="1:6" x14ac:dyDescent="0.2">
      <c r="A7" s="1">
        <v>5</v>
      </c>
      <c r="B7" s="2">
        <f t="shared" si="1"/>
        <v>1250.6088687890629</v>
      </c>
      <c r="C7" s="2">
        <f t="shared" si="0"/>
        <v>1322.518878744434</v>
      </c>
      <c r="D7" s="2">
        <f>C7-(C7-InitInv)*(OIRate+Penalty)</f>
        <v>1177.3853833094388</v>
      </c>
    </row>
    <row r="8" spans="1:6" x14ac:dyDescent="0.2">
      <c r="A8" s="1">
        <v>6</v>
      </c>
      <c r="B8" s="2">
        <f t="shared" si="1"/>
        <v>1322.518878744434</v>
      </c>
      <c r="C8" s="2">
        <f t="shared" si="0"/>
        <v>1398.5637142722392</v>
      </c>
      <c r="D8" s="2">
        <f>C8-(C8-InitInv)*(OIRate+Penalty)</f>
        <v>1219.2100428497315</v>
      </c>
    </row>
    <row r="9" spans="1:6" x14ac:dyDescent="0.2">
      <c r="A9" s="1">
        <v>7</v>
      </c>
      <c r="B9" s="2">
        <f t="shared" si="1"/>
        <v>1398.5637142722392</v>
      </c>
      <c r="C9" s="2">
        <f t="shared" si="0"/>
        <v>1478.9811278428931</v>
      </c>
      <c r="D9" s="2">
        <f>C9-(C9-InitInv)*(OIRate+Penalty)</f>
        <v>1263.4396203135911</v>
      </c>
    </row>
    <row r="10" spans="1:6" x14ac:dyDescent="0.2">
      <c r="A10" s="1">
        <v>8</v>
      </c>
      <c r="B10" s="2">
        <f t="shared" si="1"/>
        <v>1478.9811278428931</v>
      </c>
      <c r="C10" s="2">
        <f t="shared" si="0"/>
        <v>1564.0225426938596</v>
      </c>
      <c r="D10" s="2">
        <f>C10-(C10-InitInv)*(OIRate+Penalty)</f>
        <v>1310.2123984816228</v>
      </c>
    </row>
    <row r="11" spans="1:6" x14ac:dyDescent="0.2">
      <c r="A11" s="1">
        <v>9</v>
      </c>
      <c r="B11" s="2">
        <f t="shared" si="1"/>
        <v>1564.0225426938596</v>
      </c>
      <c r="C11" s="2">
        <f t="shared" si="0"/>
        <v>1653.9538388987567</v>
      </c>
      <c r="D11" s="2">
        <f>C11-(C11-InitInv)*(OIRate+Penalty)</f>
        <v>1359.6746113943161</v>
      </c>
      <c r="F11" s="32"/>
    </row>
    <row r="12" spans="1:6" x14ac:dyDescent="0.2">
      <c r="A12" s="1">
        <v>10</v>
      </c>
      <c r="B12" s="2">
        <f t="shared" si="1"/>
        <v>1653.9538388987567</v>
      </c>
      <c r="C12" s="2">
        <f t="shared" si="0"/>
        <v>1749.0561846354353</v>
      </c>
      <c r="D12" s="2">
        <f>C12-(C12-InitInv)*(OIRate+Penalty)</f>
        <v>1411.9809015494895</v>
      </c>
    </row>
    <row r="13" spans="1:6" x14ac:dyDescent="0.2">
      <c r="A13" s="1">
        <v>11</v>
      </c>
      <c r="B13" s="2">
        <f t="shared" si="1"/>
        <v>1749.0561846354353</v>
      </c>
      <c r="C13" s="2">
        <f t="shared" si="0"/>
        <v>1849.6269152519731</v>
      </c>
      <c r="D13" s="2">
        <f>C13-(C13-InitInv)*(OIRate+Penalty)</f>
        <v>1467.2948033885853</v>
      </c>
    </row>
    <row r="14" spans="1:6" x14ac:dyDescent="0.2">
      <c r="A14" s="1">
        <v>12</v>
      </c>
      <c r="B14" s="2">
        <f t="shared" si="1"/>
        <v>1849.6269152519731</v>
      </c>
      <c r="C14" s="2">
        <f t="shared" si="0"/>
        <v>1955.9804628789618</v>
      </c>
      <c r="D14" s="2">
        <f>C14-(C14-InitInv)*(OIRate+Penalty)</f>
        <v>1525.7892545834291</v>
      </c>
    </row>
    <row r="15" spans="1:6" x14ac:dyDescent="0.2">
      <c r="A15" s="1">
        <v>13</v>
      </c>
      <c r="B15" s="2">
        <f t="shared" si="1"/>
        <v>1955.9804628789618</v>
      </c>
      <c r="C15" s="2">
        <f t="shared" si="0"/>
        <v>2068.4493394945025</v>
      </c>
      <c r="D15" s="2">
        <f>C15-(C15-InitInv)*(OIRate+Penalty)</f>
        <v>1587.6471367219765</v>
      </c>
    </row>
    <row r="16" spans="1:6" x14ac:dyDescent="0.2">
      <c r="A16" s="1">
        <v>14</v>
      </c>
      <c r="B16" s="2">
        <f t="shared" si="1"/>
        <v>2068.4493394945025</v>
      </c>
      <c r="C16" s="2">
        <f t="shared" si="0"/>
        <v>2187.3851765154368</v>
      </c>
      <c r="D16" s="2">
        <f>C16-(C16-InitInv)*(OIRate+Penalty)</f>
        <v>1653.0618470834902</v>
      </c>
    </row>
    <row r="17" spans="1:4" x14ac:dyDescent="0.2">
      <c r="A17" s="1">
        <v>15</v>
      </c>
      <c r="B17" s="2">
        <f t="shared" si="1"/>
        <v>2187.3851765154368</v>
      </c>
      <c r="C17" s="2">
        <f t="shared" si="0"/>
        <v>2313.1598241650745</v>
      </c>
      <c r="D17" s="2">
        <f>C17-(C17-InitInv)*(OIRate+Penalty)</f>
        <v>1722.2379032907911</v>
      </c>
    </row>
    <row r="18" spans="1:4" x14ac:dyDescent="0.2">
      <c r="A18" s="1">
        <v>16</v>
      </c>
      <c r="B18" s="2">
        <f t="shared" si="1"/>
        <v>2313.1598241650745</v>
      </c>
      <c r="C18" s="2">
        <f t="shared" si="0"/>
        <v>2446.1665140545665</v>
      </c>
      <c r="D18" s="2">
        <f>C18-(C18-InitInv)*(OIRate+Penalty)</f>
        <v>1795.3915827300116</v>
      </c>
    </row>
    <row r="19" spans="1:4" x14ac:dyDescent="0.2">
      <c r="A19" s="1">
        <v>17</v>
      </c>
      <c r="B19" s="2">
        <f t="shared" si="1"/>
        <v>2446.1665140545665</v>
      </c>
      <c r="C19" s="2">
        <f t="shared" si="0"/>
        <v>2586.8210886127044</v>
      </c>
      <c r="D19" s="2">
        <f>C19-(C19-InitInv)*(OIRate+Penalty)</f>
        <v>1872.7515987369875</v>
      </c>
    </row>
    <row r="20" spans="1:4" x14ac:dyDescent="0.2">
      <c r="A20" s="1">
        <v>18</v>
      </c>
      <c r="B20" s="2">
        <f t="shared" si="1"/>
        <v>2586.8210886127044</v>
      </c>
      <c r="C20" s="2">
        <f t="shared" si="0"/>
        <v>2735.5633012079352</v>
      </c>
      <c r="D20" s="2">
        <f>C20-(C20-InitInv)*(OIRate+Penalty)</f>
        <v>1954.5598156643646</v>
      </c>
    </row>
    <row r="21" spans="1:4" x14ac:dyDescent="0.2">
      <c r="A21" s="1">
        <v>19</v>
      </c>
      <c r="B21" s="2">
        <f t="shared" si="1"/>
        <v>2735.5633012079352</v>
      </c>
      <c r="C21" s="2">
        <f t="shared" si="0"/>
        <v>2892.858191027392</v>
      </c>
      <c r="D21" s="2">
        <f>C21-(C21-InitInv)*(OIRate+Penalty)</f>
        <v>2041.0720050650657</v>
      </c>
    </row>
    <row r="22" spans="1:4" x14ac:dyDescent="0.2">
      <c r="A22" s="1">
        <v>20</v>
      </c>
      <c r="B22" s="2">
        <f t="shared" si="1"/>
        <v>2892.858191027392</v>
      </c>
      <c r="C22" s="2">
        <f t="shared" si="0"/>
        <v>3059.1975370114674</v>
      </c>
      <c r="D22" s="2">
        <f>C22-(C22-InitInv)*(OIRate+Penalty)</f>
        <v>2132.5586453563074</v>
      </c>
    </row>
    <row r="23" spans="1:4" x14ac:dyDescent="0.2">
      <c r="A23" s="1">
        <v>21</v>
      </c>
      <c r="B23" s="2">
        <f t="shared" si="1"/>
        <v>3059.1975370114674</v>
      </c>
      <c r="C23" s="2">
        <f t="shared" si="0"/>
        <v>3235.1013953896272</v>
      </c>
      <c r="D23" s="2">
        <f>C23-(C23-InitInv)*(OIRate+Penalty)</f>
        <v>2229.3057674642951</v>
      </c>
    </row>
    <row r="24" spans="1:4" x14ac:dyDescent="0.2">
      <c r="A24" s="1">
        <v>22</v>
      </c>
      <c r="B24" s="2">
        <f t="shared" si="1"/>
        <v>3235.1013953896272</v>
      </c>
      <c r="C24" s="2">
        <f t="shared" si="0"/>
        <v>3421.1197256245309</v>
      </c>
      <c r="D24" s="2">
        <f>C24-(C24-InitInv)*(OIRate+Penalty)</f>
        <v>2331.6158490934922</v>
      </c>
    </row>
    <row r="25" spans="1:4" x14ac:dyDescent="0.2">
      <c r="A25" s="1">
        <v>23</v>
      </c>
      <c r="B25" s="2">
        <f t="shared" si="1"/>
        <v>3421.1197256245309</v>
      </c>
      <c r="C25" s="2">
        <f t="shared" si="0"/>
        <v>3617.8341098479418</v>
      </c>
      <c r="D25" s="2">
        <f>C25-(C25-InitInv)*(OIRate+Penalty)</f>
        <v>2439.8087604163684</v>
      </c>
    </row>
    <row r="26" spans="1:4" x14ac:dyDescent="0.2">
      <c r="A26" s="1">
        <v>24</v>
      </c>
      <c r="B26" s="2">
        <f t="shared" si="1"/>
        <v>3617.8341098479418</v>
      </c>
      <c r="C26" s="2">
        <f t="shared" si="0"/>
        <v>3825.8595711641988</v>
      </c>
      <c r="D26" s="2">
        <f>C26-(C26-InitInv)*(OIRate+Penalty)</f>
        <v>2554.2227641403097</v>
      </c>
    </row>
    <row r="27" spans="1:4" x14ac:dyDescent="0.2">
      <c r="A27" s="1">
        <v>25</v>
      </c>
      <c r="B27" s="2">
        <f t="shared" si="1"/>
        <v>3825.8595711641988</v>
      </c>
      <c r="C27" s="2">
        <f t="shared" si="0"/>
        <v>4045.8464965061407</v>
      </c>
      <c r="D27" s="2">
        <f>C27-(C27-InitInv)*(OIRate+Penalty)</f>
        <v>2675.2155730783775</v>
      </c>
    </row>
    <row r="28" spans="1:4" x14ac:dyDescent="0.2">
      <c r="A28" s="1">
        <v>26</v>
      </c>
      <c r="B28" s="2">
        <f t="shared" si="1"/>
        <v>4045.8464965061407</v>
      </c>
      <c r="C28" s="2">
        <f t="shared" si="0"/>
        <v>4278.4826700552439</v>
      </c>
      <c r="D28" s="2">
        <f>C28-(C28-InitInv)*(OIRate+Penalty)</f>
        <v>2803.1654685303843</v>
      </c>
    </row>
    <row r="29" spans="1:4" x14ac:dyDescent="0.2">
      <c r="A29" s="1">
        <v>27</v>
      </c>
      <c r="B29" s="2">
        <f t="shared" si="1"/>
        <v>4278.4826700552439</v>
      </c>
      <c r="C29" s="2">
        <f t="shared" si="0"/>
        <v>4524.4954235834211</v>
      </c>
      <c r="D29" s="2">
        <f>C29-(C29-InitInv)*(OIRate+Penalty)</f>
        <v>2938.4724829708821</v>
      </c>
    </row>
    <row r="30" spans="1:4" x14ac:dyDescent="0.2">
      <c r="A30" s="1">
        <v>28</v>
      </c>
      <c r="B30" s="2">
        <f t="shared" si="1"/>
        <v>4524.4954235834211</v>
      </c>
      <c r="C30" s="2">
        <f t="shared" si="0"/>
        <v>4784.6539104394687</v>
      </c>
      <c r="D30" s="2">
        <f>C30-(C30-InitInv)*(OIRate+Penalty)</f>
        <v>3081.5596507417081</v>
      </c>
    </row>
    <row r="31" spans="1:4" x14ac:dyDescent="0.2">
      <c r="A31" s="1">
        <v>29</v>
      </c>
      <c r="B31" s="2">
        <f t="shared" si="1"/>
        <v>4784.6539104394687</v>
      </c>
      <c r="C31" s="2">
        <f t="shared" si="0"/>
        <v>5059.7715102897391</v>
      </c>
      <c r="D31" s="2">
        <f>C31-(C31-InitInv)*(OIRate+Penalty)</f>
        <v>3232.8743306593569</v>
      </c>
    </row>
    <row r="32" spans="1:4" x14ac:dyDescent="0.2">
      <c r="A32" s="1">
        <v>30</v>
      </c>
      <c r="B32" s="2">
        <f t="shared" si="1"/>
        <v>5059.7715102897391</v>
      </c>
      <c r="C32" s="2">
        <f t="shared" si="0"/>
        <v>5350.7083721313993</v>
      </c>
      <c r="D32" s="2">
        <f>C32-(C32-InitInv)*(OIRate+Penalty)</f>
        <v>3392.8896046722698</v>
      </c>
    </row>
    <row r="33" spans="1:4" x14ac:dyDescent="0.2">
      <c r="A33" s="1">
        <v>31</v>
      </c>
      <c r="B33" s="2">
        <f t="shared" ref="B33:B42" si="2">C32</f>
        <v>5350.7083721313993</v>
      </c>
      <c r="C33" s="2">
        <f t="shared" si="0"/>
        <v>5658.3741035289549</v>
      </c>
      <c r="D33" s="2">
        <f>C33-(C33-InitInv)*(OIRate+Penalty)</f>
        <v>3562.1057569409254</v>
      </c>
    </row>
    <row r="34" spans="1:4" x14ac:dyDescent="0.2">
      <c r="A34" s="1">
        <v>32</v>
      </c>
      <c r="B34" s="2">
        <f t="shared" si="2"/>
        <v>5658.3741035289549</v>
      </c>
      <c r="C34" s="2">
        <f t="shared" si="0"/>
        <v>5983.7306144818704</v>
      </c>
      <c r="D34" s="2">
        <f>C34-(C34-InitInv)*(OIRate+Penalty)</f>
        <v>3741.0518379650289</v>
      </c>
    </row>
    <row r="35" spans="1:4" x14ac:dyDescent="0.2">
      <c r="A35" s="1">
        <v>33</v>
      </c>
      <c r="B35" s="2">
        <f t="shared" si="2"/>
        <v>5983.7306144818704</v>
      </c>
      <c r="C35" s="2">
        <f t="shared" si="0"/>
        <v>6327.7951248145782</v>
      </c>
      <c r="D35" s="2">
        <f>C35-(C35-InitInv)*(OIRate+Penalty)</f>
        <v>3930.2873186480183</v>
      </c>
    </row>
    <row r="36" spans="1:4" x14ac:dyDescent="0.2">
      <c r="A36" s="1">
        <v>34</v>
      </c>
      <c r="B36" s="2">
        <f t="shared" si="2"/>
        <v>6327.7951248145782</v>
      </c>
      <c r="C36" s="2">
        <f t="shared" si="0"/>
        <v>6691.6433444914173</v>
      </c>
      <c r="D36" s="2">
        <f>C36-(C36-InitInv)*(OIRate+Penalty)</f>
        <v>4130.4038394702802</v>
      </c>
    </row>
    <row r="37" spans="1:4" x14ac:dyDescent="0.2">
      <c r="A37" s="1">
        <v>35</v>
      </c>
      <c r="B37" s="2">
        <f t="shared" si="2"/>
        <v>6691.6433444914173</v>
      </c>
      <c r="C37" s="2">
        <f t="shared" si="0"/>
        <v>7076.4128367996746</v>
      </c>
      <c r="D37" s="2">
        <f>C37-(C37-InitInv)*(OIRate+Penalty)</f>
        <v>4342.0270602398214</v>
      </c>
    </row>
    <row r="38" spans="1:4" x14ac:dyDescent="0.2">
      <c r="A38" s="1">
        <v>36</v>
      </c>
      <c r="B38" s="2">
        <f t="shared" si="2"/>
        <v>7076.4128367996746</v>
      </c>
      <c r="C38" s="2">
        <f t="shared" si="0"/>
        <v>7483.3065749156567</v>
      </c>
      <c r="D38" s="2">
        <f>C38-(C38-InitInv)*(OIRate+Penalty)</f>
        <v>4565.8186162036109</v>
      </c>
    </row>
    <row r="39" spans="1:4" x14ac:dyDescent="0.2">
      <c r="A39" s="1">
        <v>37</v>
      </c>
      <c r="B39" s="2">
        <f t="shared" si="2"/>
        <v>7483.3065749156567</v>
      </c>
      <c r="C39" s="2">
        <f t="shared" si="0"/>
        <v>7913.5967029733074</v>
      </c>
      <c r="D39" s="2">
        <f>C39-(C39-InitInv)*(OIRate+Penalty)</f>
        <v>4802.4781866353187</v>
      </c>
    </row>
    <row r="40" spans="1:4" x14ac:dyDescent="0.2">
      <c r="A40" s="1">
        <v>38</v>
      </c>
      <c r="B40" s="2">
        <f t="shared" si="2"/>
        <v>7913.5967029733074</v>
      </c>
      <c r="C40" s="2">
        <f t="shared" si="0"/>
        <v>8368.6285133942729</v>
      </c>
      <c r="D40" s="2">
        <f>C40-(C40-InitInv)*(OIRate+Penalty)</f>
        <v>5052.7456823668508</v>
      </c>
    </row>
    <row r="41" spans="1:4" x14ac:dyDescent="0.2">
      <c r="A41" s="1">
        <v>39</v>
      </c>
      <c r="B41" s="2">
        <f t="shared" si="2"/>
        <v>8368.6285133942729</v>
      </c>
      <c r="C41" s="2">
        <f t="shared" si="0"/>
        <v>8849.8246529144453</v>
      </c>
      <c r="D41" s="2">
        <f>C41-(C41-InitInv)*(OIRate+Penalty)</f>
        <v>5317.4035591029451</v>
      </c>
    </row>
    <row r="42" spans="1:4" x14ac:dyDescent="0.2">
      <c r="A42" s="1">
        <v>40</v>
      </c>
      <c r="B42" s="2">
        <f t="shared" si="2"/>
        <v>8849.8246529144453</v>
      </c>
      <c r="C42" s="2">
        <f t="shared" si="0"/>
        <v>9358.689570457027</v>
      </c>
      <c r="D42" s="2">
        <f>C42-(C42-InitInv)*(OIRate+Penalty)</f>
        <v>5597.2792637513649</v>
      </c>
    </row>
    <row r="43" spans="1:4" x14ac:dyDescent="0.2">
      <c r="A43" s="1">
        <v>41</v>
      </c>
      <c r="B43" s="2">
        <f t="shared" ref="B43:B103" si="3">C42</f>
        <v>9358.689570457027</v>
      </c>
      <c r="C43" s="2">
        <f t="shared" si="0"/>
        <v>9896.8142207583078</v>
      </c>
      <c r="D43" s="2">
        <f>C43-(C43-InitInv)*(OIRate+Penalty)</f>
        <v>5893.2478214170696</v>
      </c>
    </row>
    <row r="44" spans="1:4" x14ac:dyDescent="0.2">
      <c r="A44" s="1">
        <v>42</v>
      </c>
      <c r="B44" s="2">
        <f t="shared" si="3"/>
        <v>9896.8142207583078</v>
      </c>
      <c r="C44" s="2">
        <f t="shared" si="0"/>
        <v>10465.881038451911</v>
      </c>
      <c r="D44" s="2">
        <f>C44-(C44-InitInv)*(OIRate+Penalty)</f>
        <v>6206.2345711485514</v>
      </c>
    </row>
    <row r="45" spans="1:4" x14ac:dyDescent="0.2">
      <c r="A45" s="1">
        <v>43</v>
      </c>
      <c r="B45" s="2">
        <f t="shared" si="3"/>
        <v>10465.881038451911</v>
      </c>
      <c r="C45" s="2">
        <f t="shared" si="0"/>
        <v>11067.669198162897</v>
      </c>
      <c r="D45" s="2">
        <f>C45-(C45-InitInv)*(OIRate+Penalty)</f>
        <v>6537.2180589895943</v>
      </c>
    </row>
    <row r="46" spans="1:4" x14ac:dyDescent="0.2">
      <c r="A46" s="1">
        <v>44</v>
      </c>
      <c r="B46" s="2">
        <f t="shared" si="3"/>
        <v>11067.669198162897</v>
      </c>
      <c r="C46" s="2">
        <f t="shared" si="0"/>
        <v>11704.060177057265</v>
      </c>
      <c r="D46" s="2">
        <f>C46-(C46-InitInv)*(OIRate+Penalty)</f>
        <v>6887.233097381496</v>
      </c>
    </row>
    <row r="47" spans="1:4" x14ac:dyDescent="0.2">
      <c r="A47" s="1">
        <v>45</v>
      </c>
      <c r="B47" s="2">
        <f t="shared" si="3"/>
        <v>11704.060177057265</v>
      </c>
      <c r="C47" s="2">
        <f t="shared" si="0"/>
        <v>12377.043637238059</v>
      </c>
      <c r="D47" s="2">
        <f>C47-(C47-InitInv)*(OIRate+Penalty)</f>
        <v>7257.3740004809333</v>
      </c>
    </row>
    <row r="48" spans="1:4" x14ac:dyDescent="0.2">
      <c r="A48" s="1">
        <v>46</v>
      </c>
      <c r="B48" s="2">
        <f t="shared" si="3"/>
        <v>12377.043637238059</v>
      </c>
      <c r="C48" s="2">
        <f t="shared" si="0"/>
        <v>13088.723646379249</v>
      </c>
      <c r="D48" s="2">
        <f>C48-(C48-InitInv)*(OIRate+Penalty)</f>
        <v>7648.7980055085873</v>
      </c>
    </row>
    <row r="49" spans="1:4" x14ac:dyDescent="0.2">
      <c r="A49" s="1">
        <v>47</v>
      </c>
      <c r="B49" s="2">
        <f t="shared" si="3"/>
        <v>13088.723646379249</v>
      </c>
      <c r="C49" s="2">
        <f t="shared" si="0"/>
        <v>13841.325256046057</v>
      </c>
      <c r="D49" s="2">
        <f>C49-(C49-InitInv)*(OIRate+Penalty)</f>
        <v>8062.7288908253322</v>
      </c>
    </row>
    <row r="50" spans="1:4" x14ac:dyDescent="0.2">
      <c r="A50" s="1">
        <v>48</v>
      </c>
      <c r="B50" s="2">
        <f t="shared" si="3"/>
        <v>13841.325256046057</v>
      </c>
      <c r="C50" s="2">
        <f t="shared" si="0"/>
        <v>14637.201458268706</v>
      </c>
      <c r="D50" s="2">
        <f>C50-(C50-InitInv)*(OIRate+Penalty)</f>
        <v>8500.4608020477899</v>
      </c>
    </row>
    <row r="51" spans="1:4" x14ac:dyDescent="0.2">
      <c r="A51" s="1">
        <v>49</v>
      </c>
      <c r="B51" s="2">
        <f t="shared" si="3"/>
        <v>14637.201458268706</v>
      </c>
      <c r="C51" s="2">
        <f t="shared" si="0"/>
        <v>15478.840542119158</v>
      </c>
      <c r="D51" s="2">
        <f>C51-(C51-InitInv)*(OIRate+Penalty)</f>
        <v>8963.362298165539</v>
      </c>
    </row>
    <row r="52" spans="1:4" x14ac:dyDescent="0.2">
      <c r="A52" s="1">
        <v>50</v>
      </c>
      <c r="B52" s="2">
        <f t="shared" si="3"/>
        <v>15478.840542119158</v>
      </c>
      <c r="C52" s="2">
        <f t="shared" si="0"/>
        <v>16368.873873291011</v>
      </c>
      <c r="D52" s="2">
        <f>C52-(C52-InitInv)*(OIRate+Penalty)</f>
        <v>9452.8806303100573</v>
      </c>
    </row>
    <row r="53" spans="1:4" x14ac:dyDescent="0.2">
      <c r="A53" s="1">
        <v>51</v>
      </c>
      <c r="B53" s="2">
        <f t="shared" si="3"/>
        <v>16368.873873291011</v>
      </c>
      <c r="C53" s="2">
        <f t="shared" si="0"/>
        <v>17310.084121005246</v>
      </c>
      <c r="D53" s="2">
        <f>C53-(C53-InitInv)*(OIRate+Penalty)</f>
        <v>9970.5462665528867</v>
      </c>
    </row>
    <row r="54" spans="1:4" x14ac:dyDescent="0.2">
      <c r="A54" s="1">
        <v>52</v>
      </c>
      <c r="B54" s="2">
        <f t="shared" si="3"/>
        <v>17310.084121005246</v>
      </c>
      <c r="C54" s="2">
        <f t="shared" si="0"/>
        <v>18305.41395796305</v>
      </c>
      <c r="D54" s="2">
        <f>C54-(C54-InitInv)*(OIRate+Penalty)</f>
        <v>10517.977676879678</v>
      </c>
    </row>
    <row r="55" spans="1:4" x14ac:dyDescent="0.2">
      <c r="A55" s="1">
        <v>53</v>
      </c>
      <c r="B55" s="2">
        <f t="shared" si="3"/>
        <v>18305.41395796305</v>
      </c>
      <c r="C55" s="2">
        <f t="shared" si="0"/>
        <v>19357.975260545929</v>
      </c>
      <c r="D55" s="2">
        <f>C55-(C55-InitInv)*(OIRate+Penalty)</f>
        <v>11096.886393300261</v>
      </c>
    </row>
    <row r="56" spans="1:4" x14ac:dyDescent="0.2">
      <c r="A56" s="1">
        <v>54</v>
      </c>
      <c r="B56" s="2">
        <f t="shared" si="3"/>
        <v>19357.975260545929</v>
      </c>
      <c r="C56" s="2">
        <f t="shared" si="0"/>
        <v>20471.058838027322</v>
      </c>
      <c r="D56" s="2">
        <f>C56-(C56-InitInv)*(OIRate+Penalty)</f>
        <v>11709.082360915028</v>
      </c>
    </row>
    <row r="57" spans="1:4" x14ac:dyDescent="0.2">
      <c r="A57" s="1">
        <v>55</v>
      </c>
      <c r="B57" s="2">
        <f t="shared" si="3"/>
        <v>20471.058838027322</v>
      </c>
      <c r="C57" s="2">
        <f t="shared" si="0"/>
        <v>21648.144721213896</v>
      </c>
      <c r="D57" s="2">
        <f>C57-(C57-InitInv)*(OIRate+Penalty)</f>
        <v>12356.479596667643</v>
      </c>
    </row>
    <row r="58" spans="1:4" x14ac:dyDescent="0.2">
      <c r="A58" s="1">
        <v>56</v>
      </c>
      <c r="B58" s="2">
        <f t="shared" si="3"/>
        <v>21648.144721213896</v>
      </c>
      <c r="C58" s="2">
        <f t="shared" si="0"/>
        <v>22892.913042683696</v>
      </c>
      <c r="D58" s="2">
        <f>C58-(C58-InitInv)*(OIRate+Penalty)</f>
        <v>13041.102173476034</v>
      </c>
    </row>
    <row r="59" spans="1:4" x14ac:dyDescent="0.2">
      <c r="A59" s="1">
        <v>57</v>
      </c>
      <c r="B59" s="2">
        <f t="shared" si="3"/>
        <v>22892.913042683696</v>
      </c>
      <c r="C59" s="2">
        <f t="shared" si="0"/>
        <v>24209.255542638013</v>
      </c>
      <c r="D59" s="2">
        <f>C59-(C59-InitInv)*(OIRate+Penalty)</f>
        <v>13765.090548450908</v>
      </c>
    </row>
    <row r="60" spans="1:4" x14ac:dyDescent="0.2">
      <c r="A60" s="1">
        <v>58</v>
      </c>
      <c r="B60" s="2">
        <f t="shared" si="3"/>
        <v>24209.255542638013</v>
      </c>
      <c r="C60" s="2">
        <f t="shared" si="0"/>
        <v>25601.287736339702</v>
      </c>
      <c r="D60" s="2">
        <f>C60-(C60-InitInv)*(OIRate+Penalty)</f>
        <v>14530.708254986837</v>
      </c>
    </row>
    <row r="61" spans="1:4" x14ac:dyDescent="0.2">
      <c r="A61" s="1">
        <v>59</v>
      </c>
      <c r="B61" s="2">
        <f t="shared" si="3"/>
        <v>25601.287736339702</v>
      </c>
      <c r="C61" s="2">
        <f t="shared" si="0"/>
        <v>27073.361781179239</v>
      </c>
      <c r="D61" s="2">
        <f>C61-(C61-InitInv)*(OIRate+Penalty)</f>
        <v>15340.348979648583</v>
      </c>
    </row>
    <row r="62" spans="1:4" x14ac:dyDescent="0.2">
      <c r="A62" s="1">
        <v>60</v>
      </c>
      <c r="B62" s="2">
        <f t="shared" si="3"/>
        <v>27073.361781179239</v>
      </c>
      <c r="C62" s="2">
        <f t="shared" si="0"/>
        <v>28630.080083597048</v>
      </c>
      <c r="D62" s="2">
        <f>C62-(C62-InitInv)*(OIRate+Penalty)</f>
        <v>16196.544045978377</v>
      </c>
    </row>
    <row r="63" spans="1:4" x14ac:dyDescent="0.2">
      <c r="A63" s="1">
        <v>61</v>
      </c>
      <c r="B63" s="2">
        <f t="shared" si="3"/>
        <v>28630.080083597048</v>
      </c>
      <c r="C63" s="2">
        <f t="shared" si="0"/>
        <v>30276.309688403882</v>
      </c>
      <c r="D63" s="2">
        <f>C63-(C63-InitInv)*(OIRate+Penalty)</f>
        <v>17101.970328622137</v>
      </c>
    </row>
    <row r="64" spans="1:4" x14ac:dyDescent="0.2">
      <c r="A64" s="1">
        <v>62</v>
      </c>
      <c r="B64" s="2">
        <f t="shared" si="3"/>
        <v>30276.309688403882</v>
      </c>
      <c r="C64" s="2">
        <f t="shared" si="0"/>
        <v>32017.197495487108</v>
      </c>
      <c r="D64" s="2">
        <f>C64-(C64-InitInv)*(OIRate+Penalty)</f>
        <v>18059.458622517908</v>
      </c>
    </row>
    <row r="65" spans="1:4" x14ac:dyDescent="0.2">
      <c r="A65" s="1">
        <v>63</v>
      </c>
      <c r="B65" s="2">
        <f t="shared" si="3"/>
        <v>32017.197495487108</v>
      </c>
      <c r="C65" s="2">
        <f t="shared" si="0"/>
        <v>33858.18635147762</v>
      </c>
      <c r="D65" s="2">
        <f>C65-(C65-InitInv)*(OIRate+Penalty)</f>
        <v>19072.002493312692</v>
      </c>
    </row>
    <row r="66" spans="1:4" x14ac:dyDescent="0.2">
      <c r="A66" s="1">
        <v>64</v>
      </c>
      <c r="B66" s="2">
        <f t="shared" si="3"/>
        <v>33858.18635147762</v>
      </c>
      <c r="C66" s="2">
        <f t="shared" si="0"/>
        <v>35805.032066687585</v>
      </c>
      <c r="D66" s="2">
        <f>C66-(C66-InitInv)*(OIRate+Penalty)</f>
        <v>20142.767636678174</v>
      </c>
    </row>
    <row r="67" spans="1:4" x14ac:dyDescent="0.2">
      <c r="A67" s="1">
        <v>65</v>
      </c>
      <c r="B67" s="2">
        <f t="shared" si="3"/>
        <v>35805.032066687585</v>
      </c>
      <c r="C67" s="2">
        <f t="shared" ref="C67:C103" si="4">B67*(1+TotalReturn-AnnuityCharge)</f>
        <v>37863.821410522127</v>
      </c>
      <c r="D67" s="2">
        <f>C67-(C67-InitInv)*(OIRate+Penalty)</f>
        <v>21275.10177578717</v>
      </c>
    </row>
    <row r="68" spans="1:4" x14ac:dyDescent="0.2">
      <c r="A68" s="1">
        <v>66</v>
      </c>
      <c r="B68" s="2">
        <f t="shared" si="3"/>
        <v>37863.821410522127</v>
      </c>
      <c r="C68" s="2">
        <f t="shared" si="4"/>
        <v>40040.99114162715</v>
      </c>
      <c r="D68" s="2">
        <f>C68-(C68-InitInv)*(OIRate+Penalty)</f>
        <v>22472.545127894933</v>
      </c>
    </row>
    <row r="69" spans="1:4" x14ac:dyDescent="0.2">
      <c r="A69" s="1">
        <v>67</v>
      </c>
      <c r="B69" s="2">
        <f t="shared" si="3"/>
        <v>40040.99114162715</v>
      </c>
      <c r="C69" s="2">
        <f t="shared" si="4"/>
        <v>42343.348132270716</v>
      </c>
      <c r="D69" s="2">
        <f>C69-(C69-InitInv)*(OIRate+Penalty)</f>
        <v>23738.841472748896</v>
      </c>
    </row>
    <row r="70" spans="1:4" x14ac:dyDescent="0.2">
      <c r="A70" s="1">
        <v>68</v>
      </c>
      <c r="B70" s="2">
        <f t="shared" si="3"/>
        <v>42343.348132270716</v>
      </c>
      <c r="C70" s="2">
        <f t="shared" si="4"/>
        <v>44778.090649876285</v>
      </c>
      <c r="D70" s="2">
        <f>C70-(C70-InitInv)*(OIRate+Penalty)</f>
        <v>25077.949857431959</v>
      </c>
    </row>
    <row r="71" spans="1:4" x14ac:dyDescent="0.2">
      <c r="A71" s="1">
        <v>69</v>
      </c>
      <c r="B71" s="2">
        <f t="shared" si="3"/>
        <v>44778.090649876285</v>
      </c>
      <c r="C71" s="2">
        <f t="shared" si="4"/>
        <v>47352.830862244176</v>
      </c>
      <c r="D71" s="2">
        <f>C71-(C71-InitInv)*(OIRate+Penalty)</f>
        <v>26494.0569742343</v>
      </c>
    </row>
    <row r="72" spans="1:4" x14ac:dyDescent="0.2">
      <c r="A72" s="1">
        <v>70</v>
      </c>
      <c r="B72" s="2">
        <f t="shared" si="3"/>
        <v>47352.830862244176</v>
      </c>
      <c r="C72" s="2">
        <f t="shared" si="4"/>
        <v>50075.618636823223</v>
      </c>
      <c r="D72" s="2">
        <f>C72-(C72-InitInv)*(OIRate+Penalty)</f>
        <v>27991.590250252775</v>
      </c>
    </row>
    <row r="73" spans="1:4" x14ac:dyDescent="0.2">
      <c r="A73" s="1">
        <v>71</v>
      </c>
      <c r="B73" s="2">
        <f t="shared" si="3"/>
        <v>50075.618636823223</v>
      </c>
      <c r="C73" s="2">
        <f t="shared" si="4"/>
        <v>52954.966708440566</v>
      </c>
      <c r="D73" s="2">
        <f>C73-(C73-InitInv)*(OIRate+Penalty)</f>
        <v>29575.231689642314</v>
      </c>
    </row>
    <row r="74" spans="1:4" x14ac:dyDescent="0.2">
      <c r="A74" s="1">
        <v>72</v>
      </c>
      <c r="B74" s="2">
        <f t="shared" si="3"/>
        <v>52954.966708440566</v>
      </c>
      <c r="C74" s="2">
        <f t="shared" si="4"/>
        <v>55999.877294175902</v>
      </c>
      <c r="D74" s="2">
        <f>C74-(C74-InitInv)*(OIRate+Penalty)</f>
        <v>31249.932511796749</v>
      </c>
    </row>
    <row r="75" spans="1:4" x14ac:dyDescent="0.2">
      <c r="A75" s="1">
        <v>73</v>
      </c>
      <c r="B75" s="2">
        <f t="shared" si="3"/>
        <v>55999.877294175902</v>
      </c>
      <c r="C75" s="2">
        <f t="shared" si="4"/>
        <v>59219.870238591022</v>
      </c>
      <c r="D75" s="2">
        <f>C75-(C75-InitInv)*(OIRate+Penalty)</f>
        <v>33020.928631225062</v>
      </c>
    </row>
    <row r="76" spans="1:4" x14ac:dyDescent="0.2">
      <c r="A76" s="1">
        <v>74</v>
      </c>
      <c r="B76" s="2">
        <f t="shared" si="3"/>
        <v>59219.870238591022</v>
      </c>
      <c r="C76" s="2">
        <f t="shared" si="4"/>
        <v>62625.01277731001</v>
      </c>
      <c r="D76" s="2">
        <f>C76-(C76-InitInv)*(OIRate+Penalty)</f>
        <v>34893.757027520507</v>
      </c>
    </row>
    <row r="77" spans="1:4" x14ac:dyDescent="0.2">
      <c r="A77" s="1">
        <v>75</v>
      </c>
      <c r="B77" s="2">
        <f t="shared" si="3"/>
        <v>62625.01277731001</v>
      </c>
      <c r="C77" s="2">
        <f t="shared" si="4"/>
        <v>66225.951012005346</v>
      </c>
      <c r="D77" s="2">
        <f>C77-(C77-InitInv)*(OIRate+Penalty)</f>
        <v>36874.273056602942</v>
      </c>
    </row>
    <row r="78" spans="1:4" x14ac:dyDescent="0.2">
      <c r="A78" s="1">
        <v>76</v>
      </c>
      <c r="B78" s="2">
        <f t="shared" si="3"/>
        <v>66225.951012005346</v>
      </c>
      <c r="C78" s="2">
        <f t="shared" si="4"/>
        <v>70033.943195195665</v>
      </c>
      <c r="D78" s="2">
        <f>C78-(C78-InitInv)*(OIRate+Penalty)</f>
        <v>38968.66875735762</v>
      </c>
    </row>
    <row r="79" spans="1:4" x14ac:dyDescent="0.2">
      <c r="A79" s="1">
        <v>77</v>
      </c>
      <c r="B79" s="2">
        <f t="shared" si="3"/>
        <v>70033.943195195665</v>
      </c>
      <c r="C79" s="2">
        <f t="shared" si="4"/>
        <v>74060.894928919428</v>
      </c>
      <c r="D79" s="2">
        <f>C79-(C79-InitInv)*(OIRate+Penalty)</f>
        <v>41183.492210905686</v>
      </c>
    </row>
    <row r="80" spans="1:4" x14ac:dyDescent="0.2">
      <c r="A80" s="1">
        <v>78</v>
      </c>
      <c r="B80" s="2">
        <f t="shared" si="3"/>
        <v>74060.894928919428</v>
      </c>
      <c r="C80" s="2">
        <f t="shared" si="4"/>
        <v>78319.396387332308</v>
      </c>
      <c r="D80" s="2">
        <f>C80-(C80-InitInv)*(OIRate+Penalty)</f>
        <v>43525.668013032773</v>
      </c>
    </row>
    <row r="81" spans="1:4" x14ac:dyDescent="0.2">
      <c r="A81" s="1">
        <v>79</v>
      </c>
      <c r="B81" s="2">
        <f t="shared" si="3"/>
        <v>78319.396387332308</v>
      </c>
      <c r="C81" s="2">
        <f t="shared" si="4"/>
        <v>82822.761679603922</v>
      </c>
      <c r="D81" s="2">
        <f>C81-(C81-InitInv)*(OIRate+Penalty)</f>
        <v>46002.518923782161</v>
      </c>
    </row>
    <row r="82" spans="1:4" x14ac:dyDescent="0.2">
      <c r="A82" s="1">
        <v>80</v>
      </c>
      <c r="B82" s="2">
        <f t="shared" si="3"/>
        <v>82822.761679603922</v>
      </c>
      <c r="C82" s="2">
        <f t="shared" si="4"/>
        <v>87585.07047618115</v>
      </c>
      <c r="D82" s="2">
        <f>C82-(C82-InitInv)*(OIRate+Penalty)</f>
        <v>48621.788761899639</v>
      </c>
    </row>
    <row r="83" spans="1:4" x14ac:dyDescent="0.2">
      <c r="A83" s="1">
        <v>81</v>
      </c>
      <c r="B83" s="2">
        <f t="shared" si="3"/>
        <v>87585.07047618115</v>
      </c>
      <c r="C83" s="2">
        <f t="shared" si="4"/>
        <v>92621.212028561582</v>
      </c>
      <c r="D83" s="2">
        <f>C83-(C83-InitInv)*(OIRate+Penalty)</f>
        <v>51391.666615708877</v>
      </c>
    </row>
    <row r="84" spans="1:4" x14ac:dyDescent="0.2">
      <c r="A84" s="1">
        <v>82</v>
      </c>
      <c r="B84" s="2">
        <f t="shared" si="3"/>
        <v>92621.212028561582</v>
      </c>
      <c r="C84" s="2">
        <f t="shared" si="4"/>
        <v>97946.93172020388</v>
      </c>
      <c r="D84" s="2">
        <f>C84-(C84-InitInv)*(OIRate+Penalty)</f>
        <v>54320.812446112141</v>
      </c>
    </row>
    <row r="85" spans="1:4" x14ac:dyDescent="0.2">
      <c r="A85" s="1">
        <v>83</v>
      </c>
      <c r="B85" s="2">
        <f t="shared" si="3"/>
        <v>97946.93172020388</v>
      </c>
      <c r="C85" s="2">
        <f t="shared" si="4"/>
        <v>103578.88029411562</v>
      </c>
      <c r="D85" s="2">
        <f>C85-(C85-InitInv)*(OIRate+Penalty)</f>
        <v>57418.384161763592</v>
      </c>
    </row>
    <row r="86" spans="1:4" x14ac:dyDescent="0.2">
      <c r="A86" s="1">
        <v>84</v>
      </c>
      <c r="B86" s="2">
        <f t="shared" si="3"/>
        <v>103578.88029411562</v>
      </c>
      <c r="C86" s="2">
        <f t="shared" si="4"/>
        <v>109534.66591102727</v>
      </c>
      <c r="D86" s="2">
        <f>C86-(C86-InitInv)*(OIRate+Penalty)</f>
        <v>60694.066251065007</v>
      </c>
    </row>
    <row r="87" spans="1:4" x14ac:dyDescent="0.2">
      <c r="A87" s="1">
        <v>85</v>
      </c>
      <c r="B87" s="2">
        <f t="shared" si="3"/>
        <v>109534.66591102727</v>
      </c>
      <c r="C87" s="2">
        <f t="shared" si="4"/>
        <v>115832.90920091135</v>
      </c>
      <c r="D87" s="2">
        <f>C87-(C87-InitInv)*(OIRate+Penalty)</f>
        <v>64158.100060501252</v>
      </c>
    </row>
    <row r="88" spans="1:4" x14ac:dyDescent="0.2">
      <c r="A88" s="1">
        <v>86</v>
      </c>
      <c r="B88" s="2">
        <f t="shared" si="3"/>
        <v>115832.90920091135</v>
      </c>
      <c r="C88" s="2">
        <f t="shared" si="4"/>
        <v>122493.30147996376</v>
      </c>
      <c r="D88" s="2">
        <f>C88-(C88-InitInv)*(OIRate+Penalty)</f>
        <v>67821.315813980065</v>
      </c>
    </row>
    <row r="89" spans="1:4" x14ac:dyDescent="0.2">
      <c r="A89" s="1">
        <v>87</v>
      </c>
      <c r="B89" s="2">
        <f t="shared" si="3"/>
        <v>122493.30147996376</v>
      </c>
      <c r="C89" s="2">
        <f t="shared" si="4"/>
        <v>129536.6663150617</v>
      </c>
      <c r="D89" s="2">
        <f>C89-(C89-InitInv)*(OIRate+Penalty)</f>
        <v>71695.166473283927</v>
      </c>
    </row>
    <row r="90" spans="1:4" x14ac:dyDescent="0.2">
      <c r="A90" s="1">
        <v>88</v>
      </c>
      <c r="B90" s="2">
        <f t="shared" si="3"/>
        <v>129536.6663150617</v>
      </c>
      <c r="C90" s="2">
        <f t="shared" si="4"/>
        <v>136985.02462817775</v>
      </c>
      <c r="D90" s="2">
        <f>C90-(C90-InitInv)*(OIRate+Penalty)</f>
        <v>75791.763545497772</v>
      </c>
    </row>
    <row r="91" spans="1:4" x14ac:dyDescent="0.2">
      <c r="A91" s="1">
        <v>89</v>
      </c>
      <c r="B91" s="2">
        <f t="shared" si="3"/>
        <v>136985.02462817775</v>
      </c>
      <c r="C91" s="2">
        <f t="shared" si="4"/>
        <v>144861.66354429798</v>
      </c>
      <c r="D91" s="2">
        <f>C91-(C91-InitInv)*(OIRate+Penalty)</f>
        <v>80123.914949363883</v>
      </c>
    </row>
    <row r="92" spans="1:4" x14ac:dyDescent="0.2">
      <c r="A92" s="1">
        <v>90</v>
      </c>
      <c r="B92" s="2">
        <f t="shared" si="3"/>
        <v>144861.66354429798</v>
      </c>
      <c r="C92" s="2">
        <f t="shared" si="4"/>
        <v>153191.20919809514</v>
      </c>
      <c r="D92" s="2">
        <f>C92-(C92-InitInv)*(OIRate+Penalty)</f>
        <v>84705.165058952334</v>
      </c>
    </row>
    <row r="93" spans="1:4" x14ac:dyDescent="0.2">
      <c r="A93" s="1">
        <v>91</v>
      </c>
      <c r="B93" s="2">
        <f t="shared" si="3"/>
        <v>153191.20919809514</v>
      </c>
      <c r="C93" s="2">
        <f t="shared" si="4"/>
        <v>161999.70372698564</v>
      </c>
      <c r="D93" s="2">
        <f>C93-(C93-InitInv)*(OIRate+Penalty)</f>
        <v>89549.837049842114</v>
      </c>
    </row>
    <row r="94" spans="1:4" x14ac:dyDescent="0.2">
      <c r="A94" s="1">
        <v>92</v>
      </c>
      <c r="B94" s="2">
        <f t="shared" si="3"/>
        <v>161999.70372698564</v>
      </c>
      <c r="C94" s="2">
        <f t="shared" si="4"/>
        <v>171314.68669128732</v>
      </c>
      <c r="D94" s="2">
        <f>C94-(C94-InitInv)*(OIRate+Penalty)</f>
        <v>94673.077680208036</v>
      </c>
    </row>
    <row r="95" spans="1:4" x14ac:dyDescent="0.2">
      <c r="A95" s="1">
        <v>93</v>
      </c>
      <c r="B95" s="2">
        <f t="shared" si="3"/>
        <v>171314.68669128732</v>
      </c>
      <c r="C95" s="2">
        <f t="shared" si="4"/>
        <v>181165.28117603637</v>
      </c>
      <c r="D95" s="2">
        <f>C95-(C95-InitInv)*(OIRate+Penalty)</f>
        <v>100090.90464682001</v>
      </c>
    </row>
    <row r="96" spans="1:4" x14ac:dyDescent="0.2">
      <c r="A96" s="1">
        <v>94</v>
      </c>
      <c r="B96" s="2">
        <f t="shared" si="3"/>
        <v>181165.28117603637</v>
      </c>
      <c r="C96" s="2">
        <f t="shared" si="4"/>
        <v>191582.28484365848</v>
      </c>
      <c r="D96" s="2">
        <f>C96-(C96-InitInv)*(OIRate+Penalty)</f>
        <v>105820.25666401217</v>
      </c>
    </row>
    <row r="97" spans="1:4" x14ac:dyDescent="0.2">
      <c r="A97" s="1">
        <v>95</v>
      </c>
      <c r="B97" s="2">
        <f t="shared" si="3"/>
        <v>191582.28484365848</v>
      </c>
      <c r="C97" s="2">
        <f t="shared" si="4"/>
        <v>202598.26622216887</v>
      </c>
      <c r="D97" s="2">
        <f>C97-(C97-InitInv)*(OIRate+Penalty)</f>
        <v>111879.04642219289</v>
      </c>
    </row>
    <row r="98" spans="1:4" x14ac:dyDescent="0.2">
      <c r="A98" s="1">
        <v>96</v>
      </c>
      <c r="B98" s="2">
        <f t="shared" si="3"/>
        <v>202598.26622216887</v>
      </c>
      <c r="C98" s="2">
        <f t="shared" si="4"/>
        <v>214247.66652994358</v>
      </c>
      <c r="D98" s="2">
        <f>C98-(C98-InitInv)*(OIRate+Penalty)</f>
        <v>118286.21659146898</v>
      </c>
    </row>
    <row r="99" spans="1:4" x14ac:dyDescent="0.2">
      <c r="A99" s="1">
        <v>97</v>
      </c>
      <c r="B99" s="2">
        <f t="shared" si="3"/>
        <v>214247.66652994358</v>
      </c>
      <c r="C99" s="2">
        <f t="shared" si="4"/>
        <v>226566.90735541537</v>
      </c>
      <c r="D99" s="2">
        <f>C99-(C99-InitInv)*(OIRate+Penalty)</f>
        <v>125061.79904547846</v>
      </c>
    </row>
    <row r="100" spans="1:4" x14ac:dyDescent="0.2">
      <c r="A100" s="1">
        <v>98</v>
      </c>
      <c r="B100" s="2">
        <f t="shared" si="3"/>
        <v>226566.90735541537</v>
      </c>
      <c r="C100" s="2">
        <f t="shared" si="4"/>
        <v>239594.50452835177</v>
      </c>
      <c r="D100" s="2">
        <f>C100-(C100-InitInv)*(OIRate+Penalty)</f>
        <v>132226.9774905935</v>
      </c>
    </row>
    <row r="101" spans="1:4" x14ac:dyDescent="0.2">
      <c r="A101" s="1">
        <v>99</v>
      </c>
      <c r="B101" s="2">
        <f t="shared" si="3"/>
        <v>239594.50452835177</v>
      </c>
      <c r="C101" s="2">
        <f t="shared" si="4"/>
        <v>253371.18853873201</v>
      </c>
      <c r="D101" s="2">
        <f>C101-(C101-InitInv)*(OIRate+Penalty)</f>
        <v>139804.15369630262</v>
      </c>
    </row>
    <row r="102" spans="1:4" x14ac:dyDescent="0.2">
      <c r="A102" s="1">
        <v>100</v>
      </c>
      <c r="B102" s="2">
        <f t="shared" si="3"/>
        <v>253371.18853873201</v>
      </c>
      <c r="C102" s="2">
        <f t="shared" si="4"/>
        <v>267940.0318797091</v>
      </c>
      <c r="D102" s="2">
        <f>C102-(C102-InitInv)*(OIRate+Penalty)</f>
        <v>147817.01753384003</v>
      </c>
    </row>
    <row r="103" spans="1:4" x14ac:dyDescent="0.2">
      <c r="A103" s="1">
        <v>101</v>
      </c>
      <c r="B103" s="2">
        <f t="shared" si="3"/>
        <v>267940.0318797091</v>
      </c>
      <c r="C103" s="2">
        <f t="shared" si="4"/>
        <v>283346.58371279243</v>
      </c>
      <c r="D103" s="2">
        <f>C103-(C103-InitInv)*(OIRate+Penalty)</f>
        <v>156290.62104203587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4F4CDB00A0AE4692B32F0ACD3A5E08" ma:contentTypeVersion="13" ma:contentTypeDescription="Create a new document." ma:contentTypeScope="" ma:versionID="5146bdb1287af0a2b901fcda2b139aa0">
  <xsd:schema xmlns:xsd="http://www.w3.org/2001/XMLSchema" xmlns:xs="http://www.w3.org/2001/XMLSchema" xmlns:p="http://schemas.microsoft.com/office/2006/metadata/properties" xmlns:ns3="4541f28a-9424-4d85-a00b-9f8467625418" xmlns:ns4="96c987e6-5a56-4edd-a3f1-88af447594a3" targetNamespace="http://schemas.microsoft.com/office/2006/metadata/properties" ma:root="true" ma:fieldsID="53bebba2ea1d985493a77adc1c3ac413" ns3:_="" ns4:_="">
    <xsd:import namespace="4541f28a-9424-4d85-a00b-9f8467625418"/>
    <xsd:import namespace="96c987e6-5a56-4edd-a3f1-88af447594a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1f28a-9424-4d85-a00b-9f84676254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c987e6-5a56-4edd-a3f1-88af44759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30AF3D-04A1-43D6-B2FE-4FAC411BE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1f28a-9424-4d85-a00b-9f8467625418"/>
    <ds:schemaRef ds:uri="96c987e6-5a56-4edd-a3f1-88af44759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48C3D1-0214-4B33-A67E-2A84296883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9C1EBC-9354-4F42-8708-4DA157CE0D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Summary</vt:lpstr>
      <vt:lpstr>Deductible</vt:lpstr>
      <vt:lpstr>Roth</vt:lpstr>
      <vt:lpstr>Taxable</vt:lpstr>
      <vt:lpstr>Annuity</vt:lpstr>
      <vt:lpstr>AnnuityCharge</vt:lpstr>
      <vt:lpstr>GrowthRate</vt:lpstr>
      <vt:lpstr>GrowthTax</vt:lpstr>
      <vt:lpstr>InitInv</vt:lpstr>
      <vt:lpstr>LTCGRate</vt:lpstr>
      <vt:lpstr>OIRate</vt:lpstr>
      <vt:lpstr>Penalty</vt:lpstr>
      <vt:lpstr>TotalReturn</vt:lpstr>
      <vt:lpstr>Turnover</vt:lpstr>
      <vt:lpstr>YieldRate</vt:lpstr>
      <vt:lpstr>YieldTax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david</cp:lastModifiedBy>
  <cp:lastPrinted>2006-09-13T22:33:42Z</cp:lastPrinted>
  <dcterms:created xsi:type="dcterms:W3CDTF">2000-09-23T12:35:55Z</dcterms:created>
  <dcterms:modified xsi:type="dcterms:W3CDTF">2020-02-06T23:25:10Z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-1202963702</vt:i4>
  </property>
  <property fmtid="{D5CDD505-2E9C-101B-9397-08002B2CF9AE}" pid="3" name="_EmailSubject">
    <vt:lpwstr>Tax Items</vt:lpwstr>
  </property>
  <property fmtid="{D5CDD505-2E9C-101B-9397-08002B2CF9AE}" pid="4" name="_AuthorEmail">
    <vt:lpwstr>DavidH@AFADVISORS.AmericanFinancialAdvisors.com</vt:lpwstr>
  </property>
  <property fmtid="{D5CDD505-2E9C-101B-9397-08002B2CF9AE}" pid="5" name="_AuthorEmailDisplayName">
    <vt:lpwstr>David Hultstrom</vt:lpwstr>
  </property>
  <property fmtid="{D5CDD505-2E9C-101B-9397-08002B2CF9AE}" pid="6" name="_ReviewingToolsShownOnce">
    <vt:lpwstr/>
  </property>
  <property fmtid="{D5CDD505-2E9C-101B-9397-08002B2CF9AE}" pid="7" name="ContentTypeId">
    <vt:lpwstr>0x010100A44F4CDB00A0AE4692B32F0ACD3A5E08</vt:lpwstr>
  </property>
</Properties>
</file>